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7755" tabRatio="885" activeTab="10"/>
  </bookViews>
  <sheets>
    <sheet name="Admin" sheetId="1" r:id="rId1"/>
    <sheet name="Model_Overview" sheetId="34" r:id="rId2"/>
    <sheet name="Model_Config" sheetId="41" r:id="rId3"/>
    <sheet name="NPC Summary" sheetId="64" r:id="rId4"/>
    <sheet name="Inputs---&gt;" sheetId="4" r:id="rId5"/>
    <sheet name="Inputs_General" sheetId="21" r:id="rId6"/>
    <sheet name="Inputs_Switching" sheetId="44" r:id="rId7"/>
    <sheet name="Inputs_CPs" sheetId="40" r:id="rId8"/>
    <sheet name="Inputs_Estimates" sheetId="65" r:id="rId9"/>
    <sheet name="Inputs_Delivery_Effort" sheetId="43" r:id="rId10"/>
    <sheet name="Inputs_Switchers" sheetId="61" r:id="rId11"/>
    <sheet name="GPL-EMP Calc---&gt;" sheetId="46" r:id="rId12"/>
    <sheet name="GPL-EMP Process Workings" sheetId="47" r:id="rId13"/>
    <sheet name="GPL-EMP System Workings" sheetId="49" r:id="rId14"/>
    <sheet name="GPL-DCC Calc---&gt;" sheetId="50" r:id="rId15"/>
    <sheet name="GPL-DCC Process Workings" sheetId="51" r:id="rId16"/>
    <sheet name="GPL-DCC System Workings" sheetId="52" r:id="rId17"/>
    <sheet name="eC&amp;R-EMP Calc---&gt;" sheetId="53" r:id="rId18"/>
    <sheet name="eC&amp;R-EMP Process Workings" sheetId="54" r:id="rId19"/>
    <sheet name="eC&amp;R-EMP System Workings" sheetId="55" r:id="rId20"/>
    <sheet name="eC&amp;R-DCC Calc---&gt;" sheetId="57" r:id="rId21"/>
    <sheet name="eC&amp;R-DCC Process Workings" sheetId="58" r:id="rId22"/>
    <sheet name="eC&amp;R-DCC System Workings" sheetId="59" r:id="rId23"/>
    <sheet name="General Solution Calc---&gt;" sheetId="67" r:id="rId24"/>
    <sheet name="General_Solutions" sheetId="66" r:id="rId25"/>
    <sheet name="Output---&gt;" sheetId="14" r:id="rId26"/>
    <sheet name="NPC_Results" sheetId="60" r:id="rId27"/>
    <sheet name="NPC_TierA" sheetId="72" r:id="rId28"/>
  </sheets>
  <externalReferences>
    <externalReference r:id="rId29"/>
  </externalReferences>
  <definedNames>
    <definedName name="_xlnm._FilterDatabase" localSheetId="9" hidden="1">Inputs_Delivery_Effort!$E$1:$E$366</definedName>
    <definedName name="active_live_chats">Inputs_Switching!$G$9</definedName>
    <definedName name="additional_time_asset_val">Inputs_Switching!$G$18</definedName>
    <definedName name="additional_time_complete_switch">Inputs_Switching!$G$17</definedName>
    <definedName name="Additional_VM_Effort">Inputs_Estimates!$E$22</definedName>
    <definedName name="agent_time_cancel_blended">Inputs_Switching!$G$13</definedName>
    <definedName name="agent_time_cancel_phone">Inputs_Switching!$G$10</definedName>
    <definedName name="agent_time_cancel_webchat">Inputs_Switching!$G$11</definedName>
    <definedName name="agent_time_postcontact">Inputs_Switching!$G$12</definedName>
    <definedName name="agent_wage">Inputs_General!$G$26</definedName>
    <definedName name="Annuity_Factor">NPC_Results!$I$10</definedName>
    <definedName name="avg_time_savings_termination_chs">Inputs_Switching!$K$34</definedName>
    <definedName name="Baseline_Sensitivity">#REF!</definedName>
    <definedName name="Call_Time_Blend">'[1]Independent Cost Inputs'!$G$95</definedName>
    <definedName name="CAPEX_Factor">Inputs_General!$I$35</definedName>
    <definedName name="Complex_Process_Effort">Inputs_Estimates!$E$9</definedName>
    <definedName name="DCC_Complex_Sys_Effort">Inputs_Estimates!$E$17</definedName>
    <definedName name="DCC_Standard_Sys_Effort">Inputs_Estimates!$E$16</definedName>
    <definedName name="delta_cancel_using_phone">Inputs_Switching!$G$14</definedName>
    <definedName name="delta_cancel_using_webchat">Inputs_Switching!$G$15</definedName>
    <definedName name="Disc_Rate">Inputs_General!$G$50</definedName>
    <definedName name="Discount_Factor">'[1]NPV Model'!$F$33</definedName>
    <definedName name="eCR_DCC_SwitchCost">Inputs_Switching!$M$38</definedName>
    <definedName name="eCR_EMP_SwitchCost">Inputs_Switching!$K$38</definedName>
    <definedName name="EMP_Complex_Sys_Effort">Inputs_Estimates!$E$14</definedName>
    <definedName name="EMP_Complex_Sys_Effort_OR">Inputs_Estimates!$E$15</definedName>
    <definedName name="EMP_Standard_Sys_Effort">Inputs_Estimates!$E$13</definedName>
    <definedName name="FE_Complex_Sys_Effort">Inputs_Estimates!$E$11</definedName>
    <definedName name="FE_Standard_Sys_Effort">Inputs_Estimates!$E$10</definedName>
    <definedName name="FE_vComplex_Sys_Effort">Inputs_Estimates!$E$12</definedName>
    <definedName name="FTE_Cost">'[1]Independent Cost Inputs'!$G$81</definedName>
    <definedName name="GPL_DCC_SwitchCost">Inputs_Switching!$I$38</definedName>
    <definedName name="GPL_EMP_SwitchCost">Inputs_Switching!$G$38</definedName>
    <definedName name="High_Sensitivity">#REF!</definedName>
    <definedName name="hrs_day_shift">Inputs_General!$G$19</definedName>
    <definedName name="hw_interface_costs">Inputs_Estimates!$F$35</definedName>
    <definedName name="hw_record_consent_costs">Inputs_Estimates!$F$34</definedName>
    <definedName name="IT_Consultant_Daily_Rate">Inputs_General!$G$30</definedName>
    <definedName name="Low_Sensitivity">#REF!</definedName>
    <definedName name="mins_hr">Inputs_General!$G$21</definedName>
    <definedName name="num_switchers">Inputs_General!$I$36</definedName>
    <definedName name="Online_ETC_Variable">NPC_Results!$E$9</definedName>
    <definedName name="OnlineSalesPc">'[1]Independent Cost Inputs'!$G$97</definedName>
    <definedName name="OPEXtoCAPEX">'[1]Independent Cost Inputs'!$G$79</definedName>
    <definedName name="perc_cancel_phone_DD">Inputs_Switching!$G$7</definedName>
    <definedName name="perc_cancel_using_IVR_online">Inputs_Switching!$G$16</definedName>
    <definedName name="perc_cancel_webchat">Inputs_Switching!$G$8</definedName>
    <definedName name="perc_switchers_not_contacting_LP">Inputs_Switching!$G$21</definedName>
    <definedName name="perc_using_eCR_process">Inputs_Switching!$G$19</definedName>
    <definedName name="perc_using_GPL_process">Inputs_Switching!$G$20</definedName>
    <definedName name="PM_Overhead">Inputs_Estimates!$E$19</definedName>
    <definedName name="Sensitivity_Asset_Val">Inputs_General!$I$44</definedName>
    <definedName name="Sensitivity_BE_Order">Inputs_General!$I$45</definedName>
    <definedName name="Sensitivity_FE_Order">Inputs_General!$I$42</definedName>
    <definedName name="Sensitivity_GP_BE_Comms">Inputs_General!$I$46</definedName>
    <definedName name="Sensitivity_GP_FE_Comms">Inputs_General!$I$43</definedName>
    <definedName name="Sensitivity_IS_Bill">Inputs_General!$I$39</definedName>
    <definedName name="Sensitivity_Rec_Consent">Inputs_General!$I$41</definedName>
    <definedName name="Sensitivity_Selector">'[1]Independent Model Outputs'!$F$64</definedName>
    <definedName name="Sensitivity_Term_channels">Inputs_General!$I$40</definedName>
    <definedName name="Standard_Process_Effort">Inputs_Estimates!$E$8</definedName>
    <definedName name="Switches_High">'[1]Independent Cost Inputs'!$J$54</definedName>
    <definedName name="Switches_Low">'[1]Independent Cost Inputs'!$H$54</definedName>
    <definedName name="Switches_Medium">'[1]Independent Cost Inputs'!$I$54</definedName>
    <definedName name="technical_FTE_salary">Inputs_General!$G$29</definedName>
    <definedName name="TierA_TPI_BEefforts">Model_Config!$F$16</definedName>
    <definedName name="TierC_TierB_ratio">Inputs_Estimates!$F$33</definedName>
    <definedName name="Time_Period">Inputs_General!$G$52</definedName>
    <definedName name="Trainees_per_session">Inputs_General!$G$31</definedName>
    <definedName name="Training_Cost_CSA">'[1]Independent Cost Inputs'!$G$80</definedName>
    <definedName name="Training_Duration">Inputs_Estimates!$E$20</definedName>
    <definedName name="WACC">Inputs_General!$G$51</definedName>
    <definedName name="work_days_year">Inputs_General!$G$20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 l="1"/>
  <c r="AO73" i="43" l="1"/>
  <c r="AN73" i="43"/>
  <c r="AM73" i="43"/>
  <c r="AL73" i="43"/>
  <c r="AK73" i="43"/>
  <c r="AJ73" i="43"/>
  <c r="AI73" i="43"/>
  <c r="AH73" i="43"/>
  <c r="AG73" i="43"/>
  <c r="AO70" i="43"/>
  <c r="AN70" i="43"/>
  <c r="AM70" i="43"/>
  <c r="AL70" i="43"/>
  <c r="AK70" i="43"/>
  <c r="AJ70" i="43"/>
  <c r="AI70" i="43"/>
  <c r="AH70" i="43"/>
  <c r="AG70" i="43"/>
  <c r="AO67" i="43"/>
  <c r="AN67" i="43"/>
  <c r="AM67" i="43"/>
  <c r="AL67" i="43"/>
  <c r="AK67" i="43"/>
  <c r="AJ67" i="43"/>
  <c r="AI67" i="43"/>
  <c r="AH67" i="43"/>
  <c r="AG67" i="43"/>
  <c r="AO64" i="43"/>
  <c r="AN64" i="43"/>
  <c r="AM64" i="43"/>
  <c r="AL64" i="43"/>
  <c r="AK64" i="43"/>
  <c r="AJ64" i="43"/>
  <c r="AI64" i="43"/>
  <c r="AH64" i="43"/>
  <c r="AG64" i="43"/>
  <c r="AO61" i="43"/>
  <c r="AN61" i="43"/>
  <c r="AM61" i="43"/>
  <c r="AL61" i="43"/>
  <c r="AK61" i="43"/>
  <c r="AJ61" i="43"/>
  <c r="AI61" i="43"/>
  <c r="AH61" i="43"/>
  <c r="AG61" i="43"/>
  <c r="AO58" i="43"/>
  <c r="AN58" i="43"/>
  <c r="AM58" i="43"/>
  <c r="AL58" i="43"/>
  <c r="AK58" i="43"/>
  <c r="AJ58" i="43"/>
  <c r="AI58" i="43"/>
  <c r="AH58" i="43"/>
  <c r="AG58" i="43"/>
  <c r="AO55" i="43"/>
  <c r="AN55" i="43"/>
  <c r="AM55" i="43"/>
  <c r="AL55" i="43"/>
  <c r="AK55" i="43"/>
  <c r="AJ55" i="43"/>
  <c r="AI55" i="43"/>
  <c r="AH55" i="43"/>
  <c r="AG55" i="43"/>
  <c r="AO52" i="43"/>
  <c r="AN52" i="43"/>
  <c r="AM52" i="43"/>
  <c r="AL52" i="43"/>
  <c r="AK52" i="43"/>
  <c r="AJ52" i="43"/>
  <c r="AI52" i="43"/>
  <c r="AH52" i="43"/>
  <c r="AG52" i="43"/>
  <c r="AO49" i="43"/>
  <c r="AN49" i="43"/>
  <c r="AM49" i="43"/>
  <c r="AL49" i="43"/>
  <c r="AK49" i="43"/>
  <c r="AJ49" i="43"/>
  <c r="AI49" i="43"/>
  <c r="AH49" i="43"/>
  <c r="AG49" i="43"/>
  <c r="AO46" i="43"/>
  <c r="AN46" i="43"/>
  <c r="AM46" i="43"/>
  <c r="AL46" i="43"/>
  <c r="AK46" i="43"/>
  <c r="AJ46" i="43"/>
  <c r="AI46" i="43"/>
  <c r="AH46" i="43"/>
  <c r="AG46" i="43"/>
  <c r="AO43" i="43"/>
  <c r="AN43" i="43"/>
  <c r="AM43" i="43"/>
  <c r="AL43" i="43"/>
  <c r="AK43" i="43"/>
  <c r="AJ43" i="43"/>
  <c r="AI43" i="43"/>
  <c r="AH43" i="43"/>
  <c r="AG43" i="43"/>
  <c r="AO40" i="43"/>
  <c r="AN40" i="43"/>
  <c r="AM40" i="43"/>
  <c r="AL40" i="43"/>
  <c r="AK40" i="43"/>
  <c r="AJ40" i="43"/>
  <c r="AI40" i="43"/>
  <c r="AH40" i="43"/>
  <c r="AG40" i="43"/>
  <c r="AO37" i="43"/>
  <c r="AN37" i="43"/>
  <c r="AM37" i="43"/>
  <c r="AL37" i="43"/>
  <c r="AK37" i="43"/>
  <c r="AJ37" i="43"/>
  <c r="AI37" i="43"/>
  <c r="AH37" i="43"/>
  <c r="AG37" i="43"/>
  <c r="AO34" i="43"/>
  <c r="AN34" i="43"/>
  <c r="AM34" i="43"/>
  <c r="AL34" i="43"/>
  <c r="AK34" i="43"/>
  <c r="AO32" i="43"/>
  <c r="AN32" i="43"/>
  <c r="AM32" i="43"/>
  <c r="AL32" i="43"/>
  <c r="AK32" i="43"/>
  <c r="AJ32" i="43"/>
  <c r="AI32" i="43"/>
  <c r="AH32" i="43"/>
  <c r="AG32" i="43"/>
  <c r="AO30" i="43"/>
  <c r="O57" i="51" s="1"/>
  <c r="AN30" i="43"/>
  <c r="N57" i="51" s="1"/>
  <c r="AM30" i="43"/>
  <c r="M57" i="51" s="1"/>
  <c r="AL30" i="43"/>
  <c r="L57" i="51" s="1"/>
  <c r="AK30" i="43"/>
  <c r="K57" i="51" s="1"/>
  <c r="AO28" i="43"/>
  <c r="AN28" i="43"/>
  <c r="AM28" i="43"/>
  <c r="AL28" i="43"/>
  <c r="AK28" i="43"/>
  <c r="AJ28" i="43"/>
  <c r="AI28" i="43"/>
  <c r="AH28" i="43"/>
  <c r="AG28" i="43"/>
  <c r="AO26" i="43"/>
  <c r="AN26" i="43"/>
  <c r="AM26" i="43"/>
  <c r="AL26" i="43"/>
  <c r="AK26" i="43"/>
  <c r="AO24" i="43"/>
  <c r="AN24" i="43"/>
  <c r="AM24" i="43"/>
  <c r="AL24" i="43"/>
  <c r="AK24" i="43"/>
  <c r="AJ24" i="43"/>
  <c r="AI24" i="43"/>
  <c r="AH24" i="43"/>
  <c r="AG24" i="43"/>
  <c r="AO20" i="43"/>
  <c r="AN20" i="43"/>
  <c r="AM20" i="43"/>
  <c r="AL20" i="43"/>
  <c r="AK20" i="43"/>
  <c r="AJ20" i="43"/>
  <c r="AI20" i="43"/>
  <c r="AH20" i="43"/>
  <c r="AG20" i="43"/>
  <c r="AO18" i="43"/>
  <c r="AN18" i="43"/>
  <c r="AM18" i="43"/>
  <c r="AL18" i="43"/>
  <c r="AK18" i="43"/>
  <c r="AO16" i="43"/>
  <c r="AN16" i="43"/>
  <c r="AM16" i="43"/>
  <c r="AL16" i="43"/>
  <c r="AK16" i="43"/>
  <c r="AJ16" i="43"/>
  <c r="AI16" i="43"/>
  <c r="AH16" i="43"/>
  <c r="AG16" i="43"/>
  <c r="AO14" i="43"/>
  <c r="AN14" i="43"/>
  <c r="AM14" i="43"/>
  <c r="AL14" i="43"/>
  <c r="AK14" i="43"/>
  <c r="AO12" i="43"/>
  <c r="AN12" i="43"/>
  <c r="AM12" i="43"/>
  <c r="AL12" i="43"/>
  <c r="AK12" i="43"/>
  <c r="AJ12" i="43"/>
  <c r="AI12" i="43"/>
  <c r="AH12" i="43"/>
  <c r="AG12" i="43"/>
  <c r="BR73" i="43" l="1"/>
  <c r="BQ73" i="43"/>
  <c r="BP73" i="43"/>
  <c r="BO73" i="43"/>
  <c r="BN73" i="43"/>
  <c r="BM73" i="43"/>
  <c r="BL73" i="43"/>
  <c r="BK73" i="43"/>
  <c r="BJ73" i="43"/>
  <c r="BR70" i="43"/>
  <c r="BQ70" i="43"/>
  <c r="BP70" i="43"/>
  <c r="BO70" i="43"/>
  <c r="BN70" i="43"/>
  <c r="BM70" i="43"/>
  <c r="BL70" i="43"/>
  <c r="BK70" i="43"/>
  <c r="BJ70" i="43"/>
  <c r="BR67" i="43"/>
  <c r="BQ67" i="43"/>
  <c r="BP67" i="43"/>
  <c r="BO67" i="43"/>
  <c r="BN67" i="43"/>
  <c r="BM67" i="43"/>
  <c r="BL67" i="43"/>
  <c r="BK67" i="43"/>
  <c r="BJ67" i="43"/>
  <c r="BR64" i="43"/>
  <c r="BQ64" i="43"/>
  <c r="BP64" i="43"/>
  <c r="BO64" i="43"/>
  <c r="BN64" i="43"/>
  <c r="BM64" i="43"/>
  <c r="BL64" i="43"/>
  <c r="BK64" i="43"/>
  <c r="BJ64" i="43"/>
  <c r="BR61" i="43"/>
  <c r="BQ61" i="43"/>
  <c r="BP61" i="43"/>
  <c r="BO61" i="43"/>
  <c r="BN61" i="43"/>
  <c r="BM61" i="43"/>
  <c r="BL61" i="43"/>
  <c r="BK61" i="43"/>
  <c r="BJ61" i="43"/>
  <c r="BR58" i="43"/>
  <c r="BQ58" i="43"/>
  <c r="BP58" i="43"/>
  <c r="BO58" i="43"/>
  <c r="BN58" i="43"/>
  <c r="BM58" i="43"/>
  <c r="BL58" i="43"/>
  <c r="BK58" i="43"/>
  <c r="BJ58" i="43"/>
  <c r="BR55" i="43"/>
  <c r="BQ55" i="43"/>
  <c r="BP55" i="43"/>
  <c r="BO55" i="43"/>
  <c r="BN55" i="43"/>
  <c r="BM55" i="43"/>
  <c r="BL55" i="43"/>
  <c r="BK55" i="43"/>
  <c r="BJ55" i="43"/>
  <c r="BR52" i="43"/>
  <c r="BQ52" i="43"/>
  <c r="BP52" i="43"/>
  <c r="BO52" i="43"/>
  <c r="BN52" i="43"/>
  <c r="BM52" i="43"/>
  <c r="BL52" i="43"/>
  <c r="BK52" i="43"/>
  <c r="BJ52" i="43"/>
  <c r="BR49" i="43"/>
  <c r="BQ49" i="43"/>
  <c r="BP49" i="43"/>
  <c r="BO49" i="43"/>
  <c r="BN49" i="43"/>
  <c r="BM49" i="43"/>
  <c r="BL49" i="43"/>
  <c r="BK49" i="43"/>
  <c r="BJ49" i="43"/>
  <c r="BR46" i="43"/>
  <c r="BQ46" i="43"/>
  <c r="BP46" i="43"/>
  <c r="BO46" i="43"/>
  <c r="BN46" i="43"/>
  <c r="BM46" i="43"/>
  <c r="BL46" i="43"/>
  <c r="BK46" i="43"/>
  <c r="BJ46" i="43"/>
  <c r="BR43" i="43"/>
  <c r="BQ43" i="43"/>
  <c r="BP43" i="43"/>
  <c r="BO43" i="43"/>
  <c r="BN43" i="43"/>
  <c r="BM43" i="43"/>
  <c r="BL43" i="43"/>
  <c r="BK43" i="43"/>
  <c r="BJ43" i="43"/>
  <c r="BR40" i="43"/>
  <c r="BQ40" i="43"/>
  <c r="BP40" i="43"/>
  <c r="BO40" i="43"/>
  <c r="BN40" i="43"/>
  <c r="BM40" i="43"/>
  <c r="BL40" i="43"/>
  <c r="BK40" i="43"/>
  <c r="BJ40" i="43"/>
  <c r="BR37" i="43"/>
  <c r="BQ37" i="43"/>
  <c r="BP37" i="43"/>
  <c r="BO37" i="43"/>
  <c r="BN37" i="43"/>
  <c r="BM37" i="43"/>
  <c r="BL37" i="43"/>
  <c r="BK37" i="43"/>
  <c r="BJ37" i="43"/>
  <c r="BR34" i="43"/>
  <c r="BQ34" i="43"/>
  <c r="BP34" i="43"/>
  <c r="BO34" i="43"/>
  <c r="BN34" i="43"/>
  <c r="BR32" i="43"/>
  <c r="BQ32" i="43"/>
  <c r="BP32" i="43"/>
  <c r="BO32" i="43"/>
  <c r="BN32" i="43"/>
  <c r="BM32" i="43"/>
  <c r="BL32" i="43"/>
  <c r="BK32" i="43"/>
  <c r="BJ32" i="43"/>
  <c r="BR30" i="43"/>
  <c r="BQ30" i="43"/>
  <c r="BP30" i="43"/>
  <c r="BO30" i="43"/>
  <c r="BN30" i="43"/>
  <c r="BR28" i="43"/>
  <c r="BQ28" i="43"/>
  <c r="BP28" i="43"/>
  <c r="BO28" i="43"/>
  <c r="BN28" i="43"/>
  <c r="BM28" i="43"/>
  <c r="BL28" i="43"/>
  <c r="BK28" i="43"/>
  <c r="BJ28" i="43"/>
  <c r="BR26" i="43"/>
  <c r="BQ26" i="43"/>
  <c r="BP26" i="43"/>
  <c r="BO26" i="43"/>
  <c r="BN26" i="43"/>
  <c r="BR24" i="43"/>
  <c r="BQ24" i="43"/>
  <c r="BP24" i="43"/>
  <c r="BO24" i="43"/>
  <c r="BN24" i="43"/>
  <c r="BM24" i="43"/>
  <c r="BL24" i="43"/>
  <c r="BK24" i="43"/>
  <c r="BJ24" i="43"/>
  <c r="BR20" i="43"/>
  <c r="BQ20" i="43"/>
  <c r="BP20" i="43"/>
  <c r="BO20" i="43"/>
  <c r="BN20" i="43"/>
  <c r="BM20" i="43"/>
  <c r="BL20" i="43"/>
  <c r="BK20" i="43"/>
  <c r="BJ20" i="43"/>
  <c r="BR18" i="43"/>
  <c r="BQ18" i="43"/>
  <c r="BP18" i="43"/>
  <c r="BO18" i="43"/>
  <c r="BN18" i="43"/>
  <c r="BR16" i="43"/>
  <c r="BQ16" i="43"/>
  <c r="BP16" i="43"/>
  <c r="BO16" i="43"/>
  <c r="BN16" i="43"/>
  <c r="BM16" i="43"/>
  <c r="BL16" i="43"/>
  <c r="BK16" i="43"/>
  <c r="BJ16" i="43"/>
  <c r="BR14" i="43"/>
  <c r="BQ14" i="43"/>
  <c r="BP14" i="43"/>
  <c r="BO14" i="43"/>
  <c r="BN14" i="43"/>
  <c r="BR12" i="43"/>
  <c r="BQ12" i="43"/>
  <c r="BP12" i="43"/>
  <c r="BO12" i="43"/>
  <c r="BN12" i="43"/>
  <c r="BM12" i="43"/>
  <c r="BL12" i="43"/>
  <c r="BK12" i="43"/>
  <c r="BJ12" i="43"/>
  <c r="BL363" i="43"/>
  <c r="BL360" i="43"/>
  <c r="BL357" i="43"/>
  <c r="BL354" i="43"/>
  <c r="BO350" i="43"/>
  <c r="BL335" i="43"/>
  <c r="BL332" i="43"/>
  <c r="BL329" i="43"/>
  <c r="BL326" i="43"/>
  <c r="BO322" i="43"/>
  <c r="BL307" i="43"/>
  <c r="BL304" i="43"/>
  <c r="BL301" i="43"/>
  <c r="BL298" i="43"/>
  <c r="BL295" i="43"/>
  <c r="BL292" i="43"/>
  <c r="C12" i="64"/>
  <c r="AX363" i="43"/>
  <c r="BD352" i="43"/>
  <c r="AX335" i="43"/>
  <c r="AX307" i="43"/>
  <c r="AA352" i="43" l="1"/>
  <c r="U363" i="43"/>
  <c r="BD73" i="43" l="1"/>
  <c r="BC73" i="43"/>
  <c r="BD70" i="43"/>
  <c r="BC70" i="43"/>
  <c r="BD67" i="43"/>
  <c r="BC67" i="43"/>
  <c r="BD64" i="43"/>
  <c r="BC64" i="43"/>
  <c r="BD61" i="43"/>
  <c r="BC61" i="43"/>
  <c r="BD58" i="43"/>
  <c r="BC58" i="43"/>
  <c r="BD55" i="43"/>
  <c r="BC55" i="43"/>
  <c r="BD52" i="43"/>
  <c r="BC52" i="43"/>
  <c r="BD49" i="43"/>
  <c r="BC49" i="43"/>
  <c r="BD46" i="43"/>
  <c r="BC46" i="43"/>
  <c r="BD43" i="43"/>
  <c r="BC43" i="43"/>
  <c r="BD40" i="43"/>
  <c r="BC40" i="43"/>
  <c r="BD37" i="43"/>
  <c r="BC37" i="43"/>
  <c r="BD34" i="43"/>
  <c r="BC34" i="43"/>
  <c r="BD32" i="43"/>
  <c r="BC32" i="43"/>
  <c r="BD30" i="43"/>
  <c r="BC30" i="43"/>
  <c r="BD28" i="43"/>
  <c r="BC28" i="43"/>
  <c r="BD26" i="43"/>
  <c r="BC26" i="43"/>
  <c r="BD24" i="43"/>
  <c r="BC24" i="43"/>
  <c r="BD20" i="43"/>
  <c r="BC20" i="43"/>
  <c r="BD18" i="43"/>
  <c r="BC18" i="43"/>
  <c r="BD16" i="43"/>
  <c r="BC16" i="43"/>
  <c r="BD14" i="43"/>
  <c r="BC14" i="43"/>
  <c r="BD12" i="43"/>
  <c r="BC12" i="43"/>
  <c r="Z12" i="43"/>
  <c r="F16" i="41"/>
  <c r="Z14" i="43"/>
  <c r="M33" i="44" l="1"/>
  <c r="K33" i="44"/>
  <c r="F30" i="65"/>
  <c r="M34" i="44" l="1"/>
  <c r="K34" i="44"/>
  <c r="K93" i="43" l="1"/>
  <c r="K88" i="43"/>
  <c r="K86" i="43"/>
  <c r="K84" i="43"/>
  <c r="K82" i="43"/>
  <c r="G13" i="44"/>
  <c r="I34" i="44" l="1"/>
  <c r="G34" i="44"/>
  <c r="E61" i="34"/>
  <c r="D11" i="72"/>
  <c r="D10" i="72"/>
  <c r="D23" i="72" l="1"/>
  <c r="D22" i="72"/>
  <c r="D17" i="72"/>
  <c r="D16" i="72"/>
  <c r="D35" i="72"/>
  <c r="D34" i="72"/>
  <c r="D29" i="72"/>
  <c r="D28" i="72"/>
  <c r="C2" i="72"/>
  <c r="D61" i="34" s="1"/>
  <c r="BH365" i="43" l="1"/>
  <c r="BH364" i="43"/>
  <c r="AT365" i="43"/>
  <c r="AT364" i="43"/>
  <c r="AE365" i="43"/>
  <c r="AE364" i="43"/>
  <c r="Q365" i="43"/>
  <c r="Q364" i="43"/>
  <c r="BH350" i="43"/>
  <c r="BH349" i="43"/>
  <c r="AT350" i="43"/>
  <c r="AT349" i="43"/>
  <c r="AL350" i="43"/>
  <c r="AE350" i="43"/>
  <c r="AE349" i="43"/>
  <c r="Q350" i="43"/>
  <c r="Q349" i="43"/>
  <c r="BH337" i="43"/>
  <c r="BH336" i="43"/>
  <c r="AT337" i="43"/>
  <c r="AT336" i="43"/>
  <c r="AE337" i="43"/>
  <c r="AE336" i="43"/>
  <c r="Q337" i="43"/>
  <c r="Q336" i="43"/>
  <c r="BH322" i="43"/>
  <c r="BH321" i="43"/>
  <c r="AT322" i="43"/>
  <c r="AT321" i="43"/>
  <c r="AL322" i="43"/>
  <c r="AE322" i="43"/>
  <c r="AE321" i="43"/>
  <c r="Q322" i="43"/>
  <c r="Q321" i="43"/>
  <c r="BH309" i="43"/>
  <c r="AT309" i="43"/>
  <c r="AE309" i="43"/>
  <c r="Q309" i="43"/>
  <c r="BH288" i="43"/>
  <c r="BH287" i="43"/>
  <c r="AT288" i="43"/>
  <c r="AT287" i="43"/>
  <c r="AE288" i="43"/>
  <c r="AE287" i="43"/>
  <c r="Q288" i="43"/>
  <c r="Q287" i="43"/>
  <c r="BH267" i="43"/>
  <c r="BH266" i="43"/>
  <c r="AT267" i="43"/>
  <c r="AT266" i="43"/>
  <c r="AE267" i="43"/>
  <c r="AE266" i="43"/>
  <c r="Q267" i="43"/>
  <c r="Q266" i="43"/>
  <c r="BH255" i="43"/>
  <c r="BH254" i="43"/>
  <c r="AT255" i="43"/>
  <c r="AT254" i="43"/>
  <c r="AE255" i="43"/>
  <c r="AE254" i="43"/>
  <c r="Q255" i="43"/>
  <c r="Q254" i="43"/>
  <c r="BH242" i="43"/>
  <c r="BH241" i="43"/>
  <c r="AT242" i="43"/>
  <c r="AT241" i="43"/>
  <c r="AE242" i="43"/>
  <c r="AE241" i="43"/>
  <c r="Q242" i="43"/>
  <c r="Q241" i="43"/>
  <c r="BH212" i="43"/>
  <c r="BH211" i="43"/>
  <c r="AT212" i="43"/>
  <c r="AT211" i="43"/>
  <c r="AE212" i="43"/>
  <c r="AE211" i="43"/>
  <c r="Q212" i="43"/>
  <c r="Q211" i="43"/>
  <c r="BH97" i="43"/>
  <c r="BQ96" i="43"/>
  <c r="BO96" i="43"/>
  <c r="BN96" i="43"/>
  <c r="BH96" i="43"/>
  <c r="AT97" i="43"/>
  <c r="BC96" i="43"/>
  <c r="BA96" i="43"/>
  <c r="AZ96" i="43"/>
  <c r="AT96" i="43"/>
  <c r="AE97" i="43"/>
  <c r="AN96" i="43"/>
  <c r="AL96" i="43"/>
  <c r="AK96" i="43"/>
  <c r="AE96" i="43"/>
  <c r="BH91" i="43"/>
  <c r="BH90" i="43"/>
  <c r="AT91" i="43"/>
  <c r="AT90" i="43"/>
  <c r="AE91" i="43"/>
  <c r="AE90" i="43"/>
  <c r="W96" i="43"/>
  <c r="X96" i="43"/>
  <c r="Z96" i="43"/>
  <c r="Q97" i="43"/>
  <c r="Q96" i="43"/>
  <c r="Q91" i="43"/>
  <c r="Q90" i="43"/>
  <c r="AT123" i="43"/>
  <c r="AT122" i="43"/>
  <c r="BH123" i="43"/>
  <c r="BH122" i="43"/>
  <c r="BH144" i="43"/>
  <c r="BH143" i="43"/>
  <c r="AT144" i="43"/>
  <c r="AT143" i="43"/>
  <c r="BH183" i="43"/>
  <c r="BH182" i="43"/>
  <c r="AT183" i="43"/>
  <c r="AT182" i="43"/>
  <c r="AE183" i="43"/>
  <c r="AE182" i="43"/>
  <c r="Q183" i="43"/>
  <c r="Q182" i="43"/>
  <c r="BH165" i="43"/>
  <c r="BH164" i="43"/>
  <c r="AT165" i="43"/>
  <c r="AT164" i="43"/>
  <c r="AE165" i="43"/>
  <c r="AE164" i="43"/>
  <c r="Q165" i="43"/>
  <c r="Q164" i="43"/>
  <c r="BB73" i="43" l="1"/>
  <c r="BA73" i="43"/>
  <c r="AZ73" i="43"/>
  <c r="AY73" i="43"/>
  <c r="AX73" i="43"/>
  <c r="AW73" i="43"/>
  <c r="AV73" i="43"/>
  <c r="BB70" i="43"/>
  <c r="BA70" i="43"/>
  <c r="AZ70" i="43"/>
  <c r="AY70" i="43"/>
  <c r="AX70" i="43"/>
  <c r="AW70" i="43"/>
  <c r="AV70" i="43"/>
  <c r="BB67" i="43"/>
  <c r="BA67" i="43"/>
  <c r="AZ67" i="43"/>
  <c r="AY67" i="43"/>
  <c r="AX67" i="43"/>
  <c r="AW67" i="43"/>
  <c r="AV67" i="43"/>
  <c r="BB64" i="43"/>
  <c r="BA64" i="43"/>
  <c r="AZ64" i="43"/>
  <c r="AY64" i="43"/>
  <c r="AX64" i="43"/>
  <c r="AW64" i="43"/>
  <c r="AV64" i="43"/>
  <c r="BB61" i="43"/>
  <c r="BA61" i="43"/>
  <c r="AZ61" i="43"/>
  <c r="AY61" i="43"/>
  <c r="AX61" i="43"/>
  <c r="AW61" i="43"/>
  <c r="AV61" i="43"/>
  <c r="BB58" i="43"/>
  <c r="BA58" i="43"/>
  <c r="AZ58" i="43"/>
  <c r="AY58" i="43"/>
  <c r="AX58" i="43"/>
  <c r="AW58" i="43"/>
  <c r="AV58" i="43"/>
  <c r="BB55" i="43"/>
  <c r="BA55" i="43"/>
  <c r="AZ55" i="43"/>
  <c r="AY55" i="43"/>
  <c r="AX55" i="43"/>
  <c r="AW55" i="43"/>
  <c r="AV55" i="43"/>
  <c r="BB52" i="43"/>
  <c r="BA52" i="43"/>
  <c r="AZ52" i="43"/>
  <c r="AY52" i="43"/>
  <c r="AX52" i="43"/>
  <c r="AW52" i="43"/>
  <c r="AV52" i="43"/>
  <c r="BB49" i="43"/>
  <c r="BA49" i="43"/>
  <c r="AZ49" i="43"/>
  <c r="AY49" i="43"/>
  <c r="AX49" i="43"/>
  <c r="AW49" i="43"/>
  <c r="AV49" i="43"/>
  <c r="BB46" i="43"/>
  <c r="BA46" i="43"/>
  <c r="AZ46" i="43"/>
  <c r="AY46" i="43"/>
  <c r="AX46" i="43"/>
  <c r="AW46" i="43"/>
  <c r="AV46" i="43"/>
  <c r="BB43" i="43"/>
  <c r="BA43" i="43"/>
  <c r="AZ43" i="43"/>
  <c r="AY43" i="43"/>
  <c r="AX43" i="43"/>
  <c r="AW43" i="43"/>
  <c r="AV43" i="43"/>
  <c r="BB40" i="43"/>
  <c r="BA40" i="43"/>
  <c r="AZ40" i="43"/>
  <c r="AY40" i="43"/>
  <c r="AX40" i="43"/>
  <c r="AW40" i="43"/>
  <c r="AV40" i="43"/>
  <c r="BB37" i="43"/>
  <c r="BA37" i="43"/>
  <c r="AZ37" i="43"/>
  <c r="AY37" i="43"/>
  <c r="AX37" i="43"/>
  <c r="AW37" i="43"/>
  <c r="AV37" i="43"/>
  <c r="BB34" i="43"/>
  <c r="BA34" i="43"/>
  <c r="AZ34" i="43"/>
  <c r="BB32" i="43"/>
  <c r="BA32" i="43"/>
  <c r="AZ32" i="43"/>
  <c r="AY32" i="43"/>
  <c r="AX32" i="43"/>
  <c r="AW32" i="43"/>
  <c r="AV32" i="43"/>
  <c r="BB30" i="43"/>
  <c r="BA30" i="43"/>
  <c r="AZ30" i="43"/>
  <c r="BB28" i="43"/>
  <c r="BA28" i="43"/>
  <c r="AZ28" i="43"/>
  <c r="AY28" i="43"/>
  <c r="AX28" i="43"/>
  <c r="AW28" i="43"/>
  <c r="AV28" i="43"/>
  <c r="BB26" i="43"/>
  <c r="BA26" i="43"/>
  <c r="AZ26" i="43"/>
  <c r="BB24" i="43"/>
  <c r="BA24" i="43"/>
  <c r="AZ24" i="43"/>
  <c r="AY24" i="43"/>
  <c r="AX24" i="43"/>
  <c r="AW24" i="43"/>
  <c r="AV24" i="43"/>
  <c r="BB20" i="43"/>
  <c r="BA20" i="43"/>
  <c r="AZ20" i="43"/>
  <c r="AY20" i="43"/>
  <c r="AX20" i="43"/>
  <c r="AW20" i="43"/>
  <c r="AV20" i="43"/>
  <c r="BB18" i="43"/>
  <c r="BA18" i="43"/>
  <c r="AZ18" i="43"/>
  <c r="BB16" i="43"/>
  <c r="BA16" i="43"/>
  <c r="AZ16" i="43"/>
  <c r="AY16" i="43"/>
  <c r="AX16" i="43"/>
  <c r="AW16" i="43"/>
  <c r="AV16" i="43"/>
  <c r="BB14" i="43"/>
  <c r="BA14" i="43"/>
  <c r="AZ14" i="43"/>
  <c r="BB12" i="43"/>
  <c r="BA12" i="43"/>
  <c r="AZ12" i="43"/>
  <c r="AY12" i="43"/>
  <c r="AX12" i="43"/>
  <c r="AW12" i="43"/>
  <c r="AV12" i="43"/>
  <c r="M32" i="44" l="1"/>
  <c r="M36" i="44" s="1"/>
  <c r="K32" i="44"/>
  <c r="K36" i="44" s="1"/>
  <c r="I32" i="44"/>
  <c r="G32" i="44"/>
  <c r="I36" i="44" l="1"/>
  <c r="G36" i="44"/>
  <c r="C15" i="64" l="1"/>
  <c r="E50" i="34"/>
  <c r="K53" i="43" l="1"/>
  <c r="K50" i="43"/>
  <c r="M29" i="44" l="1"/>
  <c r="M28" i="44"/>
  <c r="K29" i="44"/>
  <c r="K28" i="44"/>
  <c r="I29" i="44"/>
  <c r="I28" i="44"/>
  <c r="G29" i="44"/>
  <c r="G28" i="44"/>
  <c r="I30" i="44"/>
  <c r="G30" i="44"/>
  <c r="M27" i="44"/>
  <c r="K27" i="44"/>
  <c r="I27" i="44"/>
  <c r="G27" i="44"/>
  <c r="I37" i="44"/>
  <c r="K37" i="44"/>
  <c r="M37" i="44"/>
  <c r="G37" i="44"/>
  <c r="O29" i="66"/>
  <c r="N29" i="66"/>
  <c r="M29" i="66"/>
  <c r="L29" i="66"/>
  <c r="K29" i="66"/>
  <c r="J29" i="66"/>
  <c r="I29" i="66"/>
  <c r="H29" i="66"/>
  <c r="G29" i="66"/>
  <c r="N25" i="66"/>
  <c r="L25" i="66"/>
  <c r="K25" i="66"/>
  <c r="O17" i="66"/>
  <c r="N17" i="66"/>
  <c r="M17" i="66"/>
  <c r="L17" i="66"/>
  <c r="K17" i="66"/>
  <c r="J17" i="66"/>
  <c r="I17" i="66"/>
  <c r="H17" i="66"/>
  <c r="G17" i="66"/>
  <c r="O12" i="66"/>
  <c r="N12" i="66"/>
  <c r="M12" i="66"/>
  <c r="L12" i="66"/>
  <c r="K12" i="66"/>
  <c r="C2" i="66"/>
  <c r="D50" i="34" s="1"/>
  <c r="D40" i="21"/>
  <c r="I40" i="21" s="1"/>
  <c r="BO141" i="43" l="1"/>
  <c r="BK141" i="43"/>
  <c r="BP140" i="43"/>
  <c r="BR140" i="43" s="1"/>
  <c r="BL140" i="43"/>
  <c r="BQ138" i="43"/>
  <c r="BM138" i="43"/>
  <c r="BQ137" i="43"/>
  <c r="BM137" i="43"/>
  <c r="BR135" i="43"/>
  <c r="BN135" i="43"/>
  <c r="BJ135" i="43"/>
  <c r="BO134" i="43"/>
  <c r="BK134" i="43"/>
  <c r="BP132" i="43"/>
  <c r="BL132" i="43"/>
  <c r="BP131" i="43"/>
  <c r="BR131" i="43" s="1"/>
  <c r="BL131" i="43"/>
  <c r="BQ129" i="43"/>
  <c r="BM129" i="43"/>
  <c r="BN128" i="43"/>
  <c r="BJ128" i="43"/>
  <c r="BO126" i="43"/>
  <c r="BK126" i="43"/>
  <c r="BO125" i="43"/>
  <c r="BK125" i="43"/>
  <c r="BP120" i="43"/>
  <c r="BL120" i="43"/>
  <c r="BP118" i="43"/>
  <c r="BR118" i="43" s="1"/>
  <c r="BL118" i="43"/>
  <c r="BQ116" i="43"/>
  <c r="BM116" i="43"/>
  <c r="BN114" i="43"/>
  <c r="BJ114" i="43"/>
  <c r="BO112" i="43"/>
  <c r="BK112" i="43"/>
  <c r="BO110" i="43"/>
  <c r="BK110" i="43"/>
  <c r="BP108" i="43"/>
  <c r="BL108" i="43"/>
  <c r="BR141" i="43"/>
  <c r="BN141" i="43"/>
  <c r="BJ141" i="43"/>
  <c r="BO140" i="43"/>
  <c r="BK140" i="43"/>
  <c r="BP138" i="43"/>
  <c r="BL138" i="43"/>
  <c r="BP137" i="43"/>
  <c r="BR137" i="43" s="1"/>
  <c r="BL137" i="43"/>
  <c r="BQ135" i="43"/>
  <c r="BM135" i="43"/>
  <c r="BN134" i="43"/>
  <c r="BJ134" i="43"/>
  <c r="BO132" i="43"/>
  <c r="BK132" i="43"/>
  <c r="BO131" i="43"/>
  <c r="BK131" i="43"/>
  <c r="BP129" i="43"/>
  <c r="BL129" i="43"/>
  <c r="BQ128" i="43"/>
  <c r="BM128" i="43"/>
  <c r="BR126" i="43"/>
  <c r="BN126" i="43"/>
  <c r="BJ126" i="43"/>
  <c r="BN125" i="43"/>
  <c r="BJ125" i="43"/>
  <c r="BO120" i="43"/>
  <c r="BK120" i="43"/>
  <c r="BO118" i="43"/>
  <c r="BK118" i="43"/>
  <c r="BP116" i="43"/>
  <c r="BL116" i="43"/>
  <c r="BQ114" i="43"/>
  <c r="BM114" i="43"/>
  <c r="BR112" i="43"/>
  <c r="BN112" i="43"/>
  <c r="BJ112" i="43"/>
  <c r="BN110" i="43"/>
  <c r="BJ110" i="43"/>
  <c r="BO108" i="43"/>
  <c r="BK108" i="43"/>
  <c r="BP106" i="43"/>
  <c r="BR106" i="43" s="1"/>
  <c r="BL106" i="43"/>
  <c r="BQ104" i="43"/>
  <c r="BM104" i="43"/>
  <c r="BQ102" i="43"/>
  <c r="BM102" i="43"/>
  <c r="BC140" i="43"/>
  <c r="AY140" i="43"/>
  <c r="BC137" i="43"/>
  <c r="AY137" i="43"/>
  <c r="BC134" i="43"/>
  <c r="AY134" i="43"/>
  <c r="BC131" i="43"/>
  <c r="AY131" i="43"/>
  <c r="BC128" i="43"/>
  <c r="AY128" i="43"/>
  <c r="BB125" i="43"/>
  <c r="AV125" i="43"/>
  <c r="AZ120" i="43"/>
  <c r="BD120" i="43"/>
  <c r="AY116" i="43"/>
  <c r="BC116" i="43"/>
  <c r="BB112" i="43"/>
  <c r="AV112" i="43"/>
  <c r="BD108" i="43"/>
  <c r="AZ108" i="43"/>
  <c r="AV108" i="43"/>
  <c r="AZ118" i="43"/>
  <c r="AV118" i="43"/>
  <c r="AZ114" i="43"/>
  <c r="AV114" i="43"/>
  <c r="AZ110" i="43"/>
  <c r="AV110" i="43"/>
  <c r="AY106" i="43"/>
  <c r="AY104" i="43"/>
  <c r="BC104" i="43"/>
  <c r="AW102" i="43"/>
  <c r="BQ141" i="43"/>
  <c r="BM141" i="43"/>
  <c r="BN140" i="43"/>
  <c r="BJ140" i="43"/>
  <c r="BO138" i="43"/>
  <c r="BK138" i="43"/>
  <c r="BO137" i="43"/>
  <c r="BK137" i="43"/>
  <c r="BP135" i="43"/>
  <c r="BL135" i="43"/>
  <c r="BQ134" i="43"/>
  <c r="BM134" i="43"/>
  <c r="BR132" i="43"/>
  <c r="BN132" i="43"/>
  <c r="BJ132" i="43"/>
  <c r="BN131" i="43"/>
  <c r="BJ131" i="43"/>
  <c r="BO129" i="43"/>
  <c r="BK129" i="43"/>
  <c r="BP128" i="43"/>
  <c r="BR128" i="43" s="1"/>
  <c r="BL128" i="43"/>
  <c r="BQ126" i="43"/>
  <c r="BM126" i="43"/>
  <c r="BQ125" i="43"/>
  <c r="BM125" i="43"/>
  <c r="BR120" i="43"/>
  <c r="BN120" i="43"/>
  <c r="BJ120" i="43"/>
  <c r="BN118" i="43"/>
  <c r="BJ118" i="43"/>
  <c r="BO116" i="43"/>
  <c r="BK116" i="43"/>
  <c r="BP114" i="43"/>
  <c r="BR114" i="43" s="1"/>
  <c r="BL114" i="43"/>
  <c r="BQ112" i="43"/>
  <c r="BM112" i="43"/>
  <c r="BQ110" i="43"/>
  <c r="BM110" i="43"/>
  <c r="BR108" i="43"/>
  <c r="BN108" i="43"/>
  <c r="BJ108" i="43"/>
  <c r="BO106" i="43"/>
  <c r="BK106" i="43"/>
  <c r="BP104" i="43"/>
  <c r="BL104" i="43"/>
  <c r="BP102" i="43"/>
  <c r="BL102" i="43"/>
  <c r="BB140" i="43"/>
  <c r="BD140" i="43" s="1"/>
  <c r="AX140" i="43"/>
  <c r="BB137" i="43"/>
  <c r="BD137" i="43" s="1"/>
  <c r="AX137" i="43"/>
  <c r="BB134" i="43"/>
  <c r="BD134" i="43" s="1"/>
  <c r="AX134" i="43"/>
  <c r="BB131" i="43"/>
  <c r="BD131" i="43" s="1"/>
  <c r="AX131" i="43"/>
  <c r="BB128" i="43"/>
  <c r="BD128" i="43" s="1"/>
  <c r="AX128" i="43"/>
  <c r="AW125" i="43"/>
  <c r="AW120" i="43"/>
  <c r="BA120" i="43"/>
  <c r="AV120" i="43"/>
  <c r="AZ116" i="43"/>
  <c r="BD116" i="43"/>
  <c r="AW112" i="43"/>
  <c r="AZ112" i="43"/>
  <c r="BC108" i="43"/>
  <c r="AY108" i="43"/>
  <c r="BC118" i="43"/>
  <c r="AY118" i="43"/>
  <c r="BC114" i="43"/>
  <c r="AY114" i="43"/>
  <c r="BC110" i="43"/>
  <c r="AY110" i="43"/>
  <c r="BB106" i="43"/>
  <c r="AV106" i="43"/>
  <c r="AZ104" i="43"/>
  <c r="BD104" i="43"/>
  <c r="AX102" i="43"/>
  <c r="BM140" i="43"/>
  <c r="BN137" i="43"/>
  <c r="BP134" i="43"/>
  <c r="BR134" i="43" s="1"/>
  <c r="BQ131" i="43"/>
  <c r="BJ129" i="43"/>
  <c r="BL126" i="43"/>
  <c r="BM120" i="43"/>
  <c r="BN116" i="43"/>
  <c r="BP112" i="43"/>
  <c r="BQ108" i="43"/>
  <c r="BN106" i="43"/>
  <c r="BO104" i="43"/>
  <c r="BO102" i="43"/>
  <c r="BA140" i="43"/>
  <c r="BA137" i="43"/>
  <c r="BA134" i="43"/>
  <c r="BA131" i="43"/>
  <c r="BA128" i="43"/>
  <c r="AX125" i="43"/>
  <c r="BB120" i="43"/>
  <c r="BA116" i="43"/>
  <c r="AX112" i="43"/>
  <c r="BB108" i="43"/>
  <c r="BB118" i="43"/>
  <c r="BD118" i="43" s="1"/>
  <c r="BB114" i="43"/>
  <c r="BD114" i="43" s="1"/>
  <c r="BB110" i="43"/>
  <c r="BD110" i="43" s="1"/>
  <c r="AW106" i="43"/>
  <c r="BA104" i="43"/>
  <c r="AY102" i="43"/>
  <c r="BJ138" i="43"/>
  <c r="BP126" i="43"/>
  <c r="BR116" i="43"/>
  <c r="BQ106" i="43"/>
  <c r="BJ102" i="43"/>
  <c r="AV134" i="43"/>
  <c r="AY120" i="43"/>
  <c r="BD112" i="43"/>
  <c r="AW118" i="43"/>
  <c r="AX104" i="43"/>
  <c r="BP141" i="43"/>
  <c r="BR138" i="43"/>
  <c r="BJ137" i="43"/>
  <c r="BL134" i="43"/>
  <c r="BM131" i="43"/>
  <c r="BO128" i="43"/>
  <c r="BP125" i="43"/>
  <c r="BQ118" i="43"/>
  <c r="BJ116" i="43"/>
  <c r="BL112" i="43"/>
  <c r="BM108" i="43"/>
  <c r="BM106" i="43"/>
  <c r="BN104" i="43"/>
  <c r="BN102" i="43"/>
  <c r="BN122" i="43" s="1"/>
  <c r="AZ140" i="43"/>
  <c r="AZ137" i="43"/>
  <c r="AZ134" i="43"/>
  <c r="AZ131" i="43"/>
  <c r="AZ128" i="43"/>
  <c r="AY125" i="43"/>
  <c r="BC120" i="43"/>
  <c r="BB116" i="43"/>
  <c r="AY112" i="43"/>
  <c r="BA108" i="43"/>
  <c r="BA118" i="43"/>
  <c r="BA114" i="43"/>
  <c r="BA110" i="43"/>
  <c r="AX106" i="43"/>
  <c r="BB104" i="43"/>
  <c r="AV102" i="43"/>
  <c r="BM132" i="43"/>
  <c r="BL110" i="43"/>
  <c r="BJ104" i="43"/>
  <c r="AV137" i="43"/>
  <c r="AV128" i="43"/>
  <c r="BC112" i="43"/>
  <c r="AW114" i="43"/>
  <c r="BB102" i="43"/>
  <c r="BL141" i="43"/>
  <c r="BN138" i="43"/>
  <c r="BO135" i="43"/>
  <c r="BQ132" i="43"/>
  <c r="BR129" i="43"/>
  <c r="BK128" i="43"/>
  <c r="BL125" i="43"/>
  <c r="BM118" i="43"/>
  <c r="BO114" i="43"/>
  <c r="BP110" i="43"/>
  <c r="BR110" i="43" s="1"/>
  <c r="BJ106" i="43"/>
  <c r="BK104" i="43"/>
  <c r="BK123" i="43" s="1"/>
  <c r="BK102" i="43"/>
  <c r="AW140" i="43"/>
  <c r="AW137" i="43"/>
  <c r="AW134" i="43"/>
  <c r="AW131" i="43"/>
  <c r="AW128" i="43"/>
  <c r="AX120" i="43"/>
  <c r="AW116" i="43"/>
  <c r="AV116" i="43"/>
  <c r="BA112" i="43"/>
  <c r="AX108" i="43"/>
  <c r="AX118" i="43"/>
  <c r="AX114" i="43"/>
  <c r="AX110" i="43"/>
  <c r="AW104" i="43"/>
  <c r="AV104" i="43"/>
  <c r="BQ140" i="43"/>
  <c r="BK135" i="43"/>
  <c r="BN129" i="43"/>
  <c r="BQ120" i="43"/>
  <c r="BK114" i="43"/>
  <c r="BR104" i="43"/>
  <c r="AV140" i="43"/>
  <c r="AV131" i="43"/>
  <c r="AX116" i="43"/>
  <c r="AW108" i="43"/>
  <c r="AW110" i="43"/>
  <c r="BC106" i="43"/>
  <c r="AZ102" i="43"/>
  <c r="BA102" i="43"/>
  <c r="AZ106" i="43"/>
  <c r="BC102" i="43"/>
  <c r="BA106" i="43"/>
  <c r="BA135" i="43"/>
  <c r="AV138" i="43"/>
  <c r="AZ126" i="43"/>
  <c r="BD129" i="43"/>
  <c r="AZ138" i="43"/>
  <c r="AV132" i="43"/>
  <c r="BD138" i="43"/>
  <c r="AV129" i="43"/>
  <c r="AZ132" i="43"/>
  <c r="BD126" i="43"/>
  <c r="AV126" i="43"/>
  <c r="AZ129" i="43"/>
  <c r="BD132" i="43"/>
  <c r="AZ141" i="43"/>
  <c r="BD141" i="43"/>
  <c r="BB135" i="43"/>
  <c r="AW138" i="43"/>
  <c r="BA138" i="43"/>
  <c r="AZ125" i="43"/>
  <c r="AW126" i="43"/>
  <c r="BA126" i="43"/>
  <c r="AW129" i="43"/>
  <c r="BA129" i="43"/>
  <c r="AW132" i="43"/>
  <c r="BA132" i="43"/>
  <c r="AW141" i="43"/>
  <c r="BA141" i="43"/>
  <c r="AX135" i="43"/>
  <c r="BC135" i="43"/>
  <c r="AX138" i="43"/>
  <c r="BB138" i="43"/>
  <c r="BA125" i="43"/>
  <c r="AX126" i="43"/>
  <c r="BB126" i="43"/>
  <c r="AX129" i="43"/>
  <c r="BB129" i="43"/>
  <c r="AX132" i="43"/>
  <c r="BB132" i="43"/>
  <c r="AX141" i="43"/>
  <c r="BB141" i="43"/>
  <c r="AY135" i="43"/>
  <c r="BD135" i="43"/>
  <c r="AV141" i="43"/>
  <c r="AW135" i="43"/>
  <c r="AY138" i="43"/>
  <c r="BC138" i="43"/>
  <c r="BC125" i="43"/>
  <c r="AY126" i="43"/>
  <c r="BC126" i="43"/>
  <c r="AY129" i="43"/>
  <c r="BC129" i="43"/>
  <c r="AY132" i="43"/>
  <c r="BC132" i="43"/>
  <c r="AY141" i="43"/>
  <c r="BC141" i="43"/>
  <c r="AV135" i="43"/>
  <c r="AZ135" i="43"/>
  <c r="BP144" i="43" l="1"/>
  <c r="BJ122" i="43"/>
  <c r="BL143" i="43"/>
  <c r="BJ123" i="43"/>
  <c r="BN123" i="43"/>
  <c r="BO123" i="43"/>
  <c r="BR123" i="43"/>
  <c r="BM123" i="43"/>
  <c r="BP123" i="43"/>
  <c r="BO122" i="43"/>
  <c r="BL122" i="43"/>
  <c r="BM144" i="43"/>
  <c r="BN143" i="43"/>
  <c r="BO143" i="43"/>
  <c r="BP122" i="43"/>
  <c r="BR102" i="43"/>
  <c r="BR122" i="43" s="1"/>
  <c r="BQ144" i="43"/>
  <c r="BJ144" i="43"/>
  <c r="BK144" i="43"/>
  <c r="BL123" i="43"/>
  <c r="BM143" i="43"/>
  <c r="BM122" i="43"/>
  <c r="BN144" i="43"/>
  <c r="BO144" i="43"/>
  <c r="BK122" i="43"/>
  <c r="BR125" i="43"/>
  <c r="BR143" i="43" s="1"/>
  <c r="BP143" i="43"/>
  <c r="BQ123" i="43"/>
  <c r="BL144" i="43"/>
  <c r="BQ143" i="43"/>
  <c r="BQ122" i="43"/>
  <c r="BJ143" i="43"/>
  <c r="BR144" i="43"/>
  <c r="BK143" i="43"/>
  <c r="AZ123" i="43"/>
  <c r="AX144" i="43"/>
  <c r="AW144" i="43"/>
  <c r="BD123" i="43"/>
  <c r="BA123" i="43"/>
  <c r="BC144" i="43"/>
  <c r="BD144" i="43"/>
  <c r="BA122" i="43"/>
  <c r="AY144" i="43"/>
  <c r="AZ144" i="43"/>
  <c r="AZ122" i="43"/>
  <c r="BA143" i="43"/>
  <c r="AZ143" i="43"/>
  <c r="BC143" i="43"/>
  <c r="BB144" i="43"/>
  <c r="BA144" i="43"/>
  <c r="AV144" i="43"/>
  <c r="BC122" i="43"/>
  <c r="BD106" i="43"/>
  <c r="BD102" i="43" l="1"/>
  <c r="AW122" i="43"/>
  <c r="AV122" i="43"/>
  <c r="AY122" i="43" l="1"/>
  <c r="AX143" i="43"/>
  <c r="BC123" i="43"/>
  <c r="AX123" i="43"/>
  <c r="AY123" i="43"/>
  <c r="AY143" i="43"/>
  <c r="AW123" i="43"/>
  <c r="BB123" i="43"/>
  <c r="AV123" i="43"/>
  <c r="AV143" i="43"/>
  <c r="AW143" i="43"/>
  <c r="AX122" i="43"/>
  <c r="G29" i="21"/>
  <c r="L12" i="40" l="1"/>
  <c r="K12" i="40"/>
  <c r="M12" i="40"/>
  <c r="N12" i="40"/>
  <c r="O12" i="40"/>
  <c r="I12" i="40"/>
  <c r="G12" i="40"/>
  <c r="F12" i="40"/>
  <c r="J12" i="40" s="1"/>
  <c r="H12" i="40"/>
  <c r="L11" i="40"/>
  <c r="N14" i="66" s="1"/>
  <c r="K11" i="40"/>
  <c r="M14" i="66" s="1"/>
  <c r="N11" i="40"/>
  <c r="K14" i="66" s="1"/>
  <c r="F11" i="40"/>
  <c r="G14" i="66" s="1"/>
  <c r="O11" i="40"/>
  <c r="M11" i="40"/>
  <c r="O14" i="66" s="1"/>
  <c r="G11" i="40"/>
  <c r="H14" i="66" s="1"/>
  <c r="H11" i="40"/>
  <c r="I14" i="66" s="1"/>
  <c r="I11" i="40"/>
  <c r="J14" i="66" s="1"/>
  <c r="L14" i="66"/>
  <c r="J11" i="40" l="1"/>
  <c r="AI295" i="43"/>
  <c r="AI363" i="43"/>
  <c r="AI360" i="43"/>
  <c r="AI357" i="43"/>
  <c r="AI354" i="43"/>
  <c r="AI335" i="43"/>
  <c r="AI332" i="43"/>
  <c r="AI329" i="43"/>
  <c r="AI326" i="43"/>
  <c r="U335" i="43"/>
  <c r="AK97" i="43" l="1"/>
  <c r="AG97" i="43"/>
  <c r="BQ97" i="43"/>
  <c r="BM97" i="43"/>
  <c r="BC97" i="43"/>
  <c r="AY97" i="43"/>
  <c r="AN97" i="43"/>
  <c r="AJ97" i="43"/>
  <c r="T91" i="43"/>
  <c r="Z97" i="43"/>
  <c r="U97" i="43"/>
  <c r="BP97" i="43"/>
  <c r="BL97" i="43"/>
  <c r="BB97" i="43"/>
  <c r="AX97" i="43"/>
  <c r="AM97" i="43"/>
  <c r="AI97" i="43"/>
  <c r="S91" i="43"/>
  <c r="X97" i="43"/>
  <c r="T97" i="43"/>
  <c r="BO97" i="43"/>
  <c r="BK97" i="43"/>
  <c r="BA97" i="43"/>
  <c r="AW97" i="43"/>
  <c r="AH97" i="43"/>
  <c r="S97" i="43"/>
  <c r="AV97" i="43"/>
  <c r="AL97" i="43"/>
  <c r="W97" i="43"/>
  <c r="AZ97" i="43"/>
  <c r="BN97" i="43"/>
  <c r="BJ97" i="43"/>
  <c r="E54" i="34"/>
  <c r="E56" i="34"/>
  <c r="E58" i="34"/>
  <c r="E57" i="34"/>
  <c r="E55" i="34"/>
  <c r="E53" i="34"/>
  <c r="AZ91" i="43" l="1"/>
  <c r="BM91" i="43"/>
  <c r="X91" i="43"/>
  <c r="W91" i="43"/>
  <c r="AI91" i="43"/>
  <c r="AX91" i="43"/>
  <c r="AN91" i="43"/>
  <c r="AY91" i="43"/>
  <c r="AV91" i="43"/>
  <c r="AJ91" i="43"/>
  <c r="AK91" i="43"/>
  <c r="BQ91" i="43"/>
  <c r="AH91" i="43"/>
  <c r="AW91" i="43"/>
  <c r="AM91" i="43"/>
  <c r="BB91" i="43"/>
  <c r="BC91" i="43"/>
  <c r="AL91" i="43"/>
  <c r="BA91" i="43"/>
  <c r="AG91" i="43"/>
  <c r="V97" i="43"/>
  <c r="U91" i="43"/>
  <c r="BK91" i="43"/>
  <c r="BL91" i="43"/>
  <c r="BJ91" i="43"/>
  <c r="BO91" i="43"/>
  <c r="BP91" i="43"/>
  <c r="BN91" i="43"/>
  <c r="Z91" i="43"/>
  <c r="BB122" i="43"/>
  <c r="V91" i="43"/>
  <c r="BD125" i="43"/>
  <c r="BB143" i="43"/>
  <c r="E52" i="34"/>
  <c r="E51" i="34"/>
  <c r="E48" i="34"/>
  <c r="E46" i="34"/>
  <c r="BD122" i="43" l="1"/>
  <c r="BD143" i="43"/>
  <c r="I8" i="60" l="1"/>
  <c r="I7" i="60"/>
  <c r="I6" i="60"/>
  <c r="I5" i="60"/>
  <c r="I10" i="60" l="1"/>
  <c r="C2" i="21" l="1"/>
  <c r="C11" i="64" l="1"/>
  <c r="C10" i="64"/>
  <c r="C16" i="64"/>
  <c r="C17" i="64"/>
  <c r="C18" i="64"/>
  <c r="C19" i="64"/>
  <c r="C20" i="64"/>
  <c r="C21" i="64"/>
  <c r="C9" i="64"/>
  <c r="L71" i="43" l="1"/>
  <c r="L53" i="43"/>
  <c r="L59" i="43"/>
  <c r="L50" i="43"/>
  <c r="K65" i="43"/>
  <c r="K47" i="43"/>
  <c r="K44" i="43"/>
  <c r="K41" i="43"/>
  <c r="K38" i="43"/>
  <c r="K35" i="43"/>
  <c r="L29" i="43"/>
  <c r="K29" i="43"/>
  <c r="L27" i="43"/>
  <c r="K27" i="43"/>
  <c r="L25" i="43"/>
  <c r="K25" i="43"/>
  <c r="L23" i="43"/>
  <c r="K23" i="43"/>
  <c r="L21" i="43"/>
  <c r="K21" i="43"/>
  <c r="L19" i="43"/>
  <c r="K19" i="43"/>
  <c r="L17" i="43"/>
  <c r="K17" i="43"/>
  <c r="L15" i="43"/>
  <c r="K15" i="43"/>
  <c r="L13" i="43"/>
  <c r="K13" i="43"/>
  <c r="K11" i="43"/>
  <c r="L11" i="43"/>
  <c r="C14" i="64"/>
  <c r="C2" i="65" l="1"/>
  <c r="C2" i="64"/>
  <c r="L72" i="43" l="1"/>
  <c r="L60" i="43"/>
  <c r="L54" i="43"/>
  <c r="L51" i="43"/>
  <c r="D36" i="21" l="1"/>
  <c r="I36" i="21" s="1"/>
  <c r="D41" i="21"/>
  <c r="I41" i="21" s="1"/>
  <c r="D42" i="21"/>
  <c r="I42" i="21" s="1"/>
  <c r="D43" i="21"/>
  <c r="I43" i="21" s="1"/>
  <c r="D44" i="21"/>
  <c r="I44" i="21" s="1"/>
  <c r="D45" i="21"/>
  <c r="I45" i="21" s="1"/>
  <c r="D46" i="21"/>
  <c r="I46" i="21" s="1"/>
  <c r="D39" i="21"/>
  <c r="I39" i="21" s="1"/>
  <c r="D35" i="21"/>
  <c r="I35" i="21" s="1"/>
  <c r="S64" i="43"/>
  <c r="T64" i="43"/>
  <c r="U64" i="43"/>
  <c r="V64" i="43"/>
  <c r="W64" i="43"/>
  <c r="X64" i="43"/>
  <c r="Y64" i="43"/>
  <c r="Z64" i="43"/>
  <c r="AA64" i="43"/>
  <c r="S37" i="43"/>
  <c r="T37" i="43"/>
  <c r="U37" i="43"/>
  <c r="V37" i="43"/>
  <c r="W37" i="43"/>
  <c r="X37" i="43"/>
  <c r="Y37" i="43"/>
  <c r="Z37" i="43"/>
  <c r="AA37" i="43"/>
  <c r="AL195" i="43" l="1"/>
  <c r="AH195" i="43"/>
  <c r="AM195" i="43"/>
  <c r="AO195" i="43" s="1"/>
  <c r="AK195" i="43"/>
  <c r="AG195" i="43"/>
  <c r="AI195" i="43"/>
  <c r="AN195" i="43"/>
  <c r="AJ195" i="43"/>
  <c r="X195" i="43"/>
  <c r="Y195" i="43"/>
  <c r="S352" i="43"/>
  <c r="BP362" i="43"/>
  <c r="BR362" i="43" s="1"/>
  <c r="BL362" i="43"/>
  <c r="BP361" i="43"/>
  <c r="BR361" i="43" s="1"/>
  <c r="BL361" i="43"/>
  <c r="BQ359" i="43"/>
  <c r="BL359" i="43"/>
  <c r="BP358" i="43"/>
  <c r="BR358" i="43" s="1"/>
  <c r="BL358" i="43"/>
  <c r="BQ356" i="43"/>
  <c r="BL356" i="43"/>
  <c r="BP355" i="43"/>
  <c r="BR355" i="43" s="1"/>
  <c r="BL355" i="43"/>
  <c r="BQ353" i="43"/>
  <c r="BL353" i="43"/>
  <c r="BL365" i="43" s="1"/>
  <c r="BP352" i="43"/>
  <c r="BL352" i="43"/>
  <c r="BL364" i="43" s="1"/>
  <c r="BN347" i="43"/>
  <c r="BJ347" i="43"/>
  <c r="BN345" i="43"/>
  <c r="BJ345" i="43"/>
  <c r="BN343" i="43"/>
  <c r="BN350" i="43" s="1"/>
  <c r="BJ343" i="43"/>
  <c r="BJ350" i="43" s="1"/>
  <c r="BN341" i="43"/>
  <c r="BN349" i="43" s="1"/>
  <c r="BJ341" i="43"/>
  <c r="BJ349" i="43" s="1"/>
  <c r="BO362" i="43"/>
  <c r="BK362" i="43"/>
  <c r="BO361" i="43"/>
  <c r="BK361" i="43"/>
  <c r="BO359" i="43"/>
  <c r="BK359" i="43"/>
  <c r="BO358" i="43"/>
  <c r="BK358" i="43"/>
  <c r="BO356" i="43"/>
  <c r="BK356" i="43"/>
  <c r="BO355" i="43"/>
  <c r="BK355" i="43"/>
  <c r="BO353" i="43"/>
  <c r="BO365" i="43" s="1"/>
  <c r="BK353" i="43"/>
  <c r="BK365" i="43" s="1"/>
  <c r="BO352" i="43"/>
  <c r="BO364" i="43" s="1"/>
  <c r="BK352" i="43"/>
  <c r="BK364" i="43" s="1"/>
  <c r="BR347" i="43"/>
  <c r="BM347" i="43"/>
  <c r="BQ345" i="43"/>
  <c r="BM345" i="43"/>
  <c r="BR343" i="43"/>
  <c r="BR350" i="43" s="1"/>
  <c r="BM343" i="43"/>
  <c r="BM350" i="43" s="1"/>
  <c r="BQ341" i="43"/>
  <c r="BQ349" i="43" s="1"/>
  <c r="BM341" i="43"/>
  <c r="BM349" i="43" s="1"/>
  <c r="BN362" i="43"/>
  <c r="BJ362" i="43"/>
  <c r="BN361" i="43"/>
  <c r="BJ361" i="43"/>
  <c r="BN359" i="43"/>
  <c r="BJ359" i="43"/>
  <c r="BN358" i="43"/>
  <c r="BJ358" i="43"/>
  <c r="BN356" i="43"/>
  <c r="BJ356" i="43"/>
  <c r="BN355" i="43"/>
  <c r="BJ355" i="43"/>
  <c r="BN353" i="43"/>
  <c r="BN365" i="43" s="1"/>
  <c r="BJ353" i="43"/>
  <c r="BJ365" i="43" s="1"/>
  <c r="BN352" i="43"/>
  <c r="BN364" i="43" s="1"/>
  <c r="BJ352" i="43"/>
  <c r="BJ364" i="43" s="1"/>
  <c r="BQ347" i="43"/>
  <c r="BL347" i="43"/>
  <c r="BP345" i="43"/>
  <c r="BR345" i="43" s="1"/>
  <c r="BL345" i="43"/>
  <c r="BQ343" i="43"/>
  <c r="BQ350" i="43" s="1"/>
  <c r="BL343" i="43"/>
  <c r="BL350" i="43" s="1"/>
  <c r="BP341" i="43"/>
  <c r="BL341" i="43"/>
  <c r="BL349" i="43" s="1"/>
  <c r="BQ362" i="43"/>
  <c r="BM362" i="43"/>
  <c r="BQ361" i="43"/>
  <c r="BM361" i="43"/>
  <c r="BM359" i="43"/>
  <c r="BP359" i="43" s="1"/>
  <c r="BR359" i="43" s="1"/>
  <c r="BQ358" i="43"/>
  <c r="BM358" i="43"/>
  <c r="BM356" i="43"/>
  <c r="BP356" i="43" s="1"/>
  <c r="BR356" i="43" s="1"/>
  <c r="BQ355" i="43"/>
  <c r="BM355" i="43"/>
  <c r="BM353" i="43"/>
  <c r="BQ352" i="43"/>
  <c r="BM352" i="43"/>
  <c r="BP347" i="43"/>
  <c r="BK347" i="43"/>
  <c r="BO345" i="43"/>
  <c r="BK345" i="43"/>
  <c r="BP343" i="43"/>
  <c r="BP350" i="43" s="1"/>
  <c r="BK343" i="43"/>
  <c r="BK350" i="43" s="1"/>
  <c r="BO341" i="43"/>
  <c r="BO349" i="43" s="1"/>
  <c r="BK341" i="43"/>
  <c r="BK349" i="43" s="1"/>
  <c r="BC362" i="43"/>
  <c r="AY362" i="43"/>
  <c r="BC361" i="43"/>
  <c r="AY361" i="43"/>
  <c r="BD359" i="43"/>
  <c r="AZ359" i="43"/>
  <c r="AV359" i="43"/>
  <c r="AZ358" i="43"/>
  <c r="AV358" i="43"/>
  <c r="BA356" i="43"/>
  <c r="AW356" i="43"/>
  <c r="BA355" i="43"/>
  <c r="AV355" i="43"/>
  <c r="BA353" i="43"/>
  <c r="AW353" i="43"/>
  <c r="BA352" i="43"/>
  <c r="AW352" i="43"/>
  <c r="BB347" i="43"/>
  <c r="AX347" i="43"/>
  <c r="BB345" i="43"/>
  <c r="BD345" i="43" s="1"/>
  <c r="AX345" i="43"/>
  <c r="BC343" i="43"/>
  <c r="AX343" i="43"/>
  <c r="AX350" i="43" s="1"/>
  <c r="BB341" i="43"/>
  <c r="AX341" i="43"/>
  <c r="AX349" i="43" s="1"/>
  <c r="BB362" i="43"/>
  <c r="AX362" i="43"/>
  <c r="BB361" i="43"/>
  <c r="BD361" i="43" s="1"/>
  <c r="AX361" i="43"/>
  <c r="BC359" i="43"/>
  <c r="AY359" i="43"/>
  <c r="BC358" i="43"/>
  <c r="AY358" i="43"/>
  <c r="BD356" i="43"/>
  <c r="AZ356" i="43"/>
  <c r="AV356" i="43"/>
  <c r="AY355" i="43"/>
  <c r="BD353" i="43"/>
  <c r="AZ353" i="43"/>
  <c r="AV353" i="43"/>
  <c r="AZ352" i="43"/>
  <c r="AV352" i="43"/>
  <c r="BA347" i="43"/>
  <c r="BA350" i="43" s="1"/>
  <c r="AW347" i="43"/>
  <c r="BA345" i="43"/>
  <c r="AW345" i="43"/>
  <c r="BB343" i="43"/>
  <c r="AW343" i="43"/>
  <c r="AW350" i="43" s="1"/>
  <c r="BA341" i="43"/>
  <c r="BA349" i="43" s="1"/>
  <c r="AW341" i="43"/>
  <c r="AW349" i="43" s="1"/>
  <c r="BA362" i="43"/>
  <c r="AW362" i="43"/>
  <c r="BA361" i="43"/>
  <c r="AW361" i="43"/>
  <c r="BB359" i="43"/>
  <c r="AX359" i="43"/>
  <c r="BB358" i="43"/>
  <c r="BD358" i="43" s="1"/>
  <c r="AX358" i="43"/>
  <c r="BC356" i="43"/>
  <c r="AY356" i="43"/>
  <c r="BC355" i="43"/>
  <c r="AX355" i="43"/>
  <c r="BC353" i="43"/>
  <c r="AY353" i="43"/>
  <c r="AY352" i="43"/>
  <c r="AY364" i="43" s="1"/>
  <c r="BD347" i="43"/>
  <c r="AZ347" i="43"/>
  <c r="AV347" i="43"/>
  <c r="AZ345" i="43"/>
  <c r="AV345" i="43"/>
  <c r="AZ343" i="43"/>
  <c r="AZ350" i="43" s="1"/>
  <c r="AV343" i="43"/>
  <c r="AV350" i="43" s="1"/>
  <c r="AZ341" i="43"/>
  <c r="AZ349" i="43" s="1"/>
  <c r="AV341" i="43"/>
  <c r="AV349" i="43" s="1"/>
  <c r="BD362" i="43"/>
  <c r="AZ362" i="43"/>
  <c r="AV362" i="43"/>
  <c r="AZ361" i="43"/>
  <c r="AV361" i="43"/>
  <c r="BA359" i="43"/>
  <c r="AW359" i="43"/>
  <c r="BA358" i="43"/>
  <c r="AW358" i="43"/>
  <c r="BB356" i="43"/>
  <c r="AX356" i="43"/>
  <c r="BB355" i="43"/>
  <c r="AW355" i="43"/>
  <c r="BB353" i="43"/>
  <c r="AX353" i="43"/>
  <c r="BC352" i="43"/>
  <c r="AX352" i="43"/>
  <c r="BC347" i="43"/>
  <c r="AY347" i="43"/>
  <c r="BC345" i="43"/>
  <c r="AY345" i="43"/>
  <c r="BD343" i="43"/>
  <c r="AY343" i="43"/>
  <c r="AY350" i="43" s="1"/>
  <c r="BC341" i="43"/>
  <c r="BC349" i="43" s="1"/>
  <c r="AY341" i="43"/>
  <c r="AY349" i="43" s="1"/>
  <c r="T355" i="43"/>
  <c r="T361" i="43"/>
  <c r="T358" i="43"/>
  <c r="X352" i="43"/>
  <c r="T352" i="43"/>
  <c r="AN345" i="43"/>
  <c r="AN341" i="43"/>
  <c r="AN361" i="43"/>
  <c r="AM358" i="43"/>
  <c r="AL355" i="43"/>
  <c r="AK352" i="43"/>
  <c r="AM345" i="43"/>
  <c r="AM341" i="43"/>
  <c r="AM361" i="43"/>
  <c r="AL358" i="43"/>
  <c r="AK355" i="43"/>
  <c r="AJ352" i="43"/>
  <c r="AH345" i="43"/>
  <c r="AH341" i="43"/>
  <c r="AH361" i="43"/>
  <c r="AG358" i="43"/>
  <c r="AN353" i="43"/>
  <c r="Y361" i="43"/>
  <c r="AA361" i="43" s="1"/>
  <c r="AJ359" i="43"/>
  <c r="AM359" i="43" s="1"/>
  <c r="U347" i="43"/>
  <c r="U343" i="43"/>
  <c r="V362" i="43"/>
  <c r="AG362" i="43"/>
  <c r="X347" i="43"/>
  <c r="AK361" i="43"/>
  <c r="Y358" i="43"/>
  <c r="AA358" i="43" s="1"/>
  <c r="W345" i="43"/>
  <c r="W341" i="43"/>
  <c r="AG361" i="43"/>
  <c r="AA362" i="43"/>
  <c r="U359" i="43"/>
  <c r="T356" i="43"/>
  <c r="S353" i="43"/>
  <c r="W356" i="43"/>
  <c r="T345" i="43"/>
  <c r="S355" i="43"/>
  <c r="X341" i="43"/>
  <c r="T359" i="43"/>
  <c r="V352" i="43"/>
  <c r="U358" i="43"/>
  <c r="AL353" i="43"/>
  <c r="V341" i="43"/>
  <c r="W359" i="43"/>
  <c r="V356" i="43"/>
  <c r="U353" i="43"/>
  <c r="V361" i="43"/>
  <c r="AJ345" i="43"/>
  <c r="AJ341" i="43"/>
  <c r="AJ361" i="43"/>
  <c r="AI358" i="43"/>
  <c r="AH355" i="43"/>
  <c r="AG352" i="43"/>
  <c r="AI345" i="43"/>
  <c r="AI341" i="43"/>
  <c r="AI361" i="43"/>
  <c r="AH358" i="43"/>
  <c r="AG355" i="43"/>
  <c r="AM347" i="43"/>
  <c r="AM343" i="43"/>
  <c r="AL362" i="43"/>
  <c r="AK359" i="43"/>
  <c r="AJ356" i="43"/>
  <c r="AM356" i="43" s="1"/>
  <c r="AI353" i="43"/>
  <c r="AK347" i="43"/>
  <c r="AI356" i="43"/>
  <c r="Y345" i="43"/>
  <c r="Y341" i="43"/>
  <c r="Z361" i="43"/>
  <c r="AN358" i="43"/>
  <c r="T347" i="43"/>
  <c r="AJ358" i="43"/>
  <c r="AA347" i="43"/>
  <c r="S345" i="43"/>
  <c r="S341" i="43"/>
  <c r="Z345" i="43"/>
  <c r="S362" i="43"/>
  <c r="X358" i="43"/>
  <c r="X355" i="43"/>
  <c r="W352" i="43"/>
  <c r="V355" i="43"/>
  <c r="U362" i="43"/>
  <c r="AN356" i="43"/>
  <c r="Y362" i="43"/>
  <c r="W358" i="43"/>
  <c r="V347" i="43"/>
  <c r="Y355" i="43"/>
  <c r="AA355" i="43" s="1"/>
  <c r="Z347" i="43"/>
  <c r="W362" i="43"/>
  <c r="S359" i="43"/>
  <c r="Z355" i="43"/>
  <c r="U352" i="43"/>
  <c r="Z358" i="43"/>
  <c r="AO347" i="43"/>
  <c r="AO343" i="43"/>
  <c r="AN362" i="43"/>
  <c r="AN359" i="43"/>
  <c r="AL356" i="43"/>
  <c r="AK353" i="43"/>
  <c r="AN347" i="43"/>
  <c r="AN343" i="43"/>
  <c r="AM362" i="43"/>
  <c r="AL359" i="43"/>
  <c r="AK356" i="43"/>
  <c r="AJ353" i="43"/>
  <c r="AM353" i="43" s="1"/>
  <c r="AH347" i="43"/>
  <c r="AH343" i="43"/>
  <c r="AH362" i="43"/>
  <c r="AG359" i="43"/>
  <c r="AN355" i="43"/>
  <c r="AM352" i="43"/>
  <c r="AK343" i="43"/>
  <c r="AH353" i="43"/>
  <c r="U345" i="43"/>
  <c r="U341" i="43"/>
  <c r="AG347" i="43"/>
  <c r="AM355" i="43"/>
  <c r="AK345" i="43"/>
  <c r="AI355" i="43"/>
  <c r="W347" i="43"/>
  <c r="W343" i="43"/>
  <c r="X362" i="43"/>
  <c r="AA343" i="43"/>
  <c r="U361" i="43"/>
  <c r="S358" i="43"/>
  <c r="AA353" i="43"/>
  <c r="X359" i="43"/>
  <c r="V353" i="43"/>
  <c r="V359" i="43"/>
  <c r="X345" i="43"/>
  <c r="X361" i="43"/>
  <c r="S356" i="43"/>
  <c r="T341" i="43"/>
  <c r="T353" i="43"/>
  <c r="V345" i="43"/>
  <c r="W361" i="43"/>
  <c r="V358" i="43"/>
  <c r="U355" i="43"/>
  <c r="AG341" i="43"/>
  <c r="U356" i="43"/>
  <c r="AJ347" i="43"/>
  <c r="AJ343" i="43"/>
  <c r="AJ362" i="43"/>
  <c r="AI359" i="43"/>
  <c r="AH356" i="43"/>
  <c r="AG353" i="43"/>
  <c r="AI347" i="43"/>
  <c r="AI343" i="43"/>
  <c r="AI362" i="43"/>
  <c r="AH359" i="43"/>
  <c r="AG356" i="43"/>
  <c r="AN352" i="43"/>
  <c r="AL345" i="43"/>
  <c r="AL341" i="43"/>
  <c r="AL361" i="43"/>
  <c r="AK358" i="43"/>
  <c r="AJ355" i="43"/>
  <c r="AI352" i="43"/>
  <c r="AK362" i="43"/>
  <c r="Y347" i="43"/>
  <c r="Z343" i="43"/>
  <c r="Z362" i="43"/>
  <c r="AG343" i="43"/>
  <c r="AL352" i="43"/>
  <c r="AK341" i="43"/>
  <c r="AH352" i="43"/>
  <c r="S347" i="43"/>
  <c r="S343" i="43"/>
  <c r="T362" i="43"/>
  <c r="Z341" i="43"/>
  <c r="Y359" i="43"/>
  <c r="X356" i="43"/>
  <c r="W353" i="43"/>
  <c r="AA356" i="43"/>
  <c r="Z352" i="43"/>
  <c r="Y356" i="43"/>
  <c r="Y343" i="43"/>
  <c r="S361" i="43"/>
  <c r="Z353" i="43"/>
  <c r="Z359" i="43"/>
  <c r="AG345" i="43"/>
  <c r="V343" i="43"/>
  <c r="AA359" i="43"/>
  <c r="Z356" i="43"/>
  <c r="Y353" i="43"/>
  <c r="T343" i="43"/>
  <c r="X353" i="43"/>
  <c r="Y238" i="43"/>
  <c r="BB238" i="43"/>
  <c r="BC205" i="43"/>
  <c r="BP220" i="43"/>
  <c r="BP199" i="43"/>
  <c r="BR199" i="43" s="1"/>
  <c r="Y235" i="43"/>
  <c r="BB235" i="43"/>
  <c r="BB205" i="43"/>
  <c r="BP214" i="43"/>
  <c r="BR214" i="43" s="1"/>
  <c r="BP195" i="43"/>
  <c r="BR195" i="43" s="1"/>
  <c r="BP209" i="43"/>
  <c r="BP33" i="43" s="1"/>
  <c r="AM232" i="43"/>
  <c r="BB199" i="43"/>
  <c r="BD199" i="43" s="1"/>
  <c r="BP238" i="43"/>
  <c r="BQ193" i="43"/>
  <c r="Y214" i="43"/>
  <c r="BB193" i="43"/>
  <c r="AX205" i="43"/>
  <c r="AX197" i="43"/>
  <c r="AX189" i="43"/>
  <c r="AG207" i="43"/>
  <c r="AG31" i="43" s="1"/>
  <c r="AG201" i="43"/>
  <c r="AG193" i="43"/>
  <c r="BK214" i="43"/>
  <c r="BL232" i="43"/>
  <c r="AY229" i="43"/>
  <c r="BN214" i="43"/>
  <c r="BJ223" i="43"/>
  <c r="AX223" i="43"/>
  <c r="AY214" i="43"/>
  <c r="AH201" i="43"/>
  <c r="AJ187" i="43"/>
  <c r="BJ229" i="43"/>
  <c r="AW214" i="43"/>
  <c r="AW205" i="43"/>
  <c r="AW197" i="43"/>
  <c r="AW189" i="43"/>
  <c r="AN205" i="43"/>
  <c r="AJ199" i="43"/>
  <c r="AJ191" i="43"/>
  <c r="BL214" i="43"/>
  <c r="AV209" i="43"/>
  <c r="AV33" i="43" s="1"/>
  <c r="AV201" i="43"/>
  <c r="AV193" i="43"/>
  <c r="AI209" i="43"/>
  <c r="AI33" i="43" s="1"/>
  <c r="AG203" i="43"/>
  <c r="AG197" i="43"/>
  <c r="AG189" i="43"/>
  <c r="BL226" i="43"/>
  <c r="AY235" i="43"/>
  <c r="AV232" i="43"/>
  <c r="AY209" i="43"/>
  <c r="AY33" i="43" s="1"/>
  <c r="AY201" i="43"/>
  <c r="AY193" i="43"/>
  <c r="AH209" i="43"/>
  <c r="AH33" i="43" s="1"/>
  <c r="AH193" i="43"/>
  <c r="AX229" i="43"/>
  <c r="BA205" i="43"/>
  <c r="BC191" i="43"/>
  <c r="AK207" i="43"/>
  <c r="AK31" i="43" s="1"/>
  <c r="AK199" i="43"/>
  <c r="AM187" i="43"/>
  <c r="BK191" i="43"/>
  <c r="BQ195" i="43"/>
  <c r="BM201" i="43"/>
  <c r="BL207" i="43"/>
  <c r="BL31" i="43" s="1"/>
  <c r="BJ205" i="43"/>
  <c r="BC199" i="43"/>
  <c r="AL199" i="43"/>
  <c r="BO193" i="43"/>
  <c r="BO207" i="43"/>
  <c r="BO31" i="43" s="1"/>
  <c r="BA201" i="43"/>
  <c r="BC187" i="43"/>
  <c r="AN203" i="43"/>
  <c r="AK193" i="43"/>
  <c r="BL187" i="43"/>
  <c r="BQ191" i="43"/>
  <c r="BN197" i="43"/>
  <c r="BN201" i="43"/>
  <c r="BR209" i="43"/>
  <c r="BR33" i="43" s="1"/>
  <c r="BK207" i="43"/>
  <c r="BK31" i="43" s="1"/>
  <c r="AM203" i="43"/>
  <c r="BM191" i="43"/>
  <c r="BN203" i="43"/>
  <c r="BK199" i="43"/>
  <c r="Y193" i="43"/>
  <c r="BA203" i="43"/>
  <c r="Z189" i="43"/>
  <c r="Y226" i="43"/>
  <c r="BB226" i="43"/>
  <c r="BC197" i="43"/>
  <c r="BQ205" i="43"/>
  <c r="BB209" i="43"/>
  <c r="BB33" i="43" s="1"/>
  <c r="Y223" i="43"/>
  <c r="BB223" i="43"/>
  <c r="BB197" i="43"/>
  <c r="BP205" i="43"/>
  <c r="BP29" i="43" s="1"/>
  <c r="AM229" i="43"/>
  <c r="BP187" i="43"/>
  <c r="AM220" i="43"/>
  <c r="BC209" i="43"/>
  <c r="BC33" i="43" s="1"/>
  <c r="BP226" i="43"/>
  <c r="BP207" i="43"/>
  <c r="AM214" i="43"/>
  <c r="BP223" i="43"/>
  <c r="BA232" i="43"/>
  <c r="AX203" i="43"/>
  <c r="AX195" i="43"/>
  <c r="AX187" i="43"/>
  <c r="AI205" i="43"/>
  <c r="AG199" i="43"/>
  <c r="AG191" i="43"/>
  <c r="BL220" i="43"/>
  <c r="BJ226" i="43"/>
  <c r="AW223" i="43"/>
  <c r="AX214" i="43"/>
  <c r="AX235" i="43"/>
  <c r="AX56" i="43" s="1"/>
  <c r="AY220" i="43"/>
  <c r="AY187" i="43"/>
  <c r="AJ197" i="43"/>
  <c r="BK220" i="43"/>
  <c r="AW232" i="43"/>
  <c r="BA229" i="43"/>
  <c r="AW203" i="43"/>
  <c r="AW195" i="43"/>
  <c r="AW187" i="43"/>
  <c r="AH205" i="43"/>
  <c r="AN197" i="43"/>
  <c r="AN189" i="43"/>
  <c r="BM220" i="43"/>
  <c r="AV207" i="43"/>
  <c r="AV31" i="43" s="1"/>
  <c r="AV199" i="43"/>
  <c r="AV191" i="43"/>
  <c r="AI207" i="43"/>
  <c r="AI31" i="43" s="1"/>
  <c r="AI201" i="43"/>
  <c r="AI193" i="43"/>
  <c r="AG187" i="43"/>
  <c r="BM229" i="43"/>
  <c r="AW229" i="43"/>
  <c r="AV220" i="43"/>
  <c r="AY207" i="43"/>
  <c r="AY31" i="43" s="1"/>
  <c r="AY199" i="43"/>
  <c r="AY191" i="43"/>
  <c r="AJ205" i="43"/>
  <c r="AJ189" i="43"/>
  <c r="AW220" i="43"/>
  <c r="AZ203" i="43"/>
  <c r="BD189" i="43"/>
  <c r="AO203" i="43"/>
  <c r="AO27" i="43" s="1"/>
  <c r="AL193" i="43"/>
  <c r="BK187" i="43"/>
  <c r="BO191" i="43"/>
  <c r="BM197" i="43"/>
  <c r="BL203" i="43"/>
  <c r="BQ207" i="43"/>
  <c r="BQ31" i="43" s="1"/>
  <c r="BR205" i="43"/>
  <c r="AZ193" i="43"/>
  <c r="AN191" i="43"/>
  <c r="BL197" i="43"/>
  <c r="BC207" i="43"/>
  <c r="BC31" i="43" s="1"/>
  <c r="AZ199" i="43"/>
  <c r="AO209" i="43"/>
  <c r="AO33" i="43" s="1"/>
  <c r="AO201" i="43"/>
  <c r="AL191" i="43"/>
  <c r="BQ187" i="43"/>
  <c r="BM193" i="43"/>
  <c r="BR197" i="43"/>
  <c r="BM203" i="43"/>
  <c r="AZ197" i="43"/>
  <c r="AO193" i="43"/>
  <c r="BJ195" i="43"/>
  <c r="BA207" i="43"/>
  <c r="BA31" i="43" s="1"/>
  <c r="BA197" i="43"/>
  <c r="AL209" i="43"/>
  <c r="AL33" i="43" s="1"/>
  <c r="AL201" i="43"/>
  <c r="AK191" i="43"/>
  <c r="BJ189" i="43"/>
  <c r="BK201" i="43"/>
  <c r="AL203" i="43"/>
  <c r="Z205" i="43"/>
  <c r="AM238" i="43"/>
  <c r="AM65" i="43" s="1"/>
  <c r="BB207" i="43"/>
  <c r="BD207" i="43" s="1"/>
  <c r="BD31" i="43" s="1"/>
  <c r="BC189" i="43"/>
  <c r="BQ189" i="43"/>
  <c r="BP235" i="43"/>
  <c r="BP56" i="43" s="1"/>
  <c r="AM235" i="43"/>
  <c r="AM56" i="43" s="1"/>
  <c r="BB203" i="43"/>
  <c r="BD203" i="43" s="1"/>
  <c r="BB189" i="43"/>
  <c r="BP189" i="43"/>
  <c r="BB214" i="43"/>
  <c r="Y232" i="43"/>
  <c r="BB232" i="43"/>
  <c r="BC201" i="43"/>
  <c r="BQ209" i="43"/>
  <c r="BQ33" i="43" s="1"/>
  <c r="BP191" i="43"/>
  <c r="BR191" i="43" s="1"/>
  <c r="BB229" i="43"/>
  <c r="BP201" i="43"/>
  <c r="AX209" i="43"/>
  <c r="AX33" i="43" s="1"/>
  <c r="AX201" i="43"/>
  <c r="AX193" i="43"/>
  <c r="AM209" i="43"/>
  <c r="AM33" i="43" s="1"/>
  <c r="AI203" i="43"/>
  <c r="AI197" i="43"/>
  <c r="AI189" i="43"/>
  <c r="BM223" i="43"/>
  <c r="AW235" i="43"/>
  <c r="AW56" i="43" s="1"/>
  <c r="AX220" i="43"/>
  <c r="BL229" i="43"/>
  <c r="AY232" i="43"/>
  <c r="AV223" i="43"/>
  <c r="AH207" i="43"/>
  <c r="AH31" i="43" s="1"/>
  <c r="AN193" i="43"/>
  <c r="BL223" i="43"/>
  <c r="AY226" i="43"/>
  <c r="AW209" i="43"/>
  <c r="AW33" i="43" s="1"/>
  <c r="AW201" i="43"/>
  <c r="AW193" i="43"/>
  <c r="AJ209" i="43"/>
  <c r="AJ33" i="43" s="1"/>
  <c r="AH203" i="43"/>
  <c r="AH197" i="43"/>
  <c r="AH189" i="43"/>
  <c r="AH212" i="43" s="1"/>
  <c r="BK226" i="43"/>
  <c r="AV205" i="43"/>
  <c r="AV197" i="43"/>
  <c r="AV189" i="43"/>
  <c r="AM205" i="43"/>
  <c r="AI199" i="43"/>
  <c r="AI191" i="43"/>
  <c r="BM214" i="43"/>
  <c r="BJ232" i="43"/>
  <c r="AX226" i="43"/>
  <c r="BQ214" i="43"/>
  <c r="AY205" i="43"/>
  <c r="AY29" i="43" s="1"/>
  <c r="AY197" i="43"/>
  <c r="AY189" i="43"/>
  <c r="AN201" i="43"/>
  <c r="BK232" i="43"/>
  <c r="BD209" i="43"/>
  <c r="BD33" i="43" s="1"/>
  <c r="BA199" i="43"/>
  <c r="AZ189" i="43"/>
  <c r="AK203" i="43"/>
  <c r="AK27" i="43" s="1"/>
  <c r="AM191" i="43"/>
  <c r="BO187" i="43"/>
  <c r="BL193" i="43"/>
  <c r="BL199" i="43"/>
  <c r="BQ203" i="43"/>
  <c r="BM209" i="43"/>
  <c r="BM33" i="43" s="1"/>
  <c r="BM207" i="43"/>
  <c r="BM31" i="43" s="1"/>
  <c r="AZ187" i="43"/>
  <c r="BJ187" i="43"/>
  <c r="BO199" i="43"/>
  <c r="BD205" i="43"/>
  <c r="AZ195" i="43"/>
  <c r="AN207" i="43"/>
  <c r="AN31" i="43" s="1"/>
  <c r="AN199" i="43"/>
  <c r="AK189" i="43"/>
  <c r="BM189" i="43"/>
  <c r="BL195" i="43"/>
  <c r="BM199" i="43"/>
  <c r="BN205" i="43"/>
  <c r="BA189" i="43"/>
  <c r="AN187" i="43"/>
  <c r="AN211" i="43" s="1"/>
  <c r="BL201" i="43"/>
  <c r="BC203" i="43"/>
  <c r="BA193" i="43"/>
  <c r="AM207" i="43"/>
  <c r="AM31" i="43" s="1"/>
  <c r="AM199" i="43"/>
  <c r="AO187" i="43"/>
  <c r="BN189" i="43"/>
  <c r="BN193" i="43"/>
  <c r="BO197" i="43"/>
  <c r="BO201" i="43"/>
  <c r="BO205" i="43"/>
  <c r="BO209" i="43"/>
  <c r="BO33" i="43" s="1"/>
  <c r="BD197" i="43"/>
  <c r="AK197" i="43"/>
  <c r="BK193" i="43"/>
  <c r="BL209" i="43"/>
  <c r="BL33" i="43" s="1"/>
  <c r="Y189" i="43"/>
  <c r="Y205" i="43"/>
  <c r="Z193" i="43"/>
  <c r="BN191" i="43"/>
  <c r="BA187" i="43"/>
  <c r="BM187" i="43"/>
  <c r="BN199" i="43"/>
  <c r="AZ207" i="43"/>
  <c r="AZ31" i="43" s="1"/>
  <c r="BN187" i="43"/>
  <c r="Y209" i="43"/>
  <c r="Y33" i="43" s="1"/>
  <c r="BJ193" i="43"/>
  <c r="BK209" i="43"/>
  <c r="BK33" i="43" s="1"/>
  <c r="BK203" i="43"/>
  <c r="AM226" i="43"/>
  <c r="BB191" i="43"/>
  <c r="BD191" i="43" s="1"/>
  <c r="BP232" i="43"/>
  <c r="BQ197" i="43"/>
  <c r="BP193" i="43"/>
  <c r="AM223" i="43"/>
  <c r="BB187" i="43"/>
  <c r="BP229" i="43"/>
  <c r="BP197" i="43"/>
  <c r="BB201" i="43"/>
  <c r="Y220" i="43"/>
  <c r="BB220" i="43"/>
  <c r="BC193" i="43"/>
  <c r="BQ201" i="43"/>
  <c r="Y229" i="43"/>
  <c r="BB195" i="43"/>
  <c r="BD195" i="43" s="1"/>
  <c r="BP203" i="43"/>
  <c r="BR203" i="43" s="1"/>
  <c r="AX207" i="43"/>
  <c r="AX31" i="43" s="1"/>
  <c r="AX199" i="43"/>
  <c r="AX191" i="43"/>
  <c r="AG209" i="43"/>
  <c r="AG33" i="43" s="1"/>
  <c r="AM201" i="43"/>
  <c r="AM193" i="43"/>
  <c r="AI187" i="43"/>
  <c r="BK229" i="43"/>
  <c r="AX232" i="43"/>
  <c r="AV226" i="43"/>
  <c r="BM232" i="43"/>
  <c r="AW226" i="43"/>
  <c r="BO214" i="43"/>
  <c r="AJ203" i="43"/>
  <c r="AJ27" i="43" s="1"/>
  <c r="AH191" i="43"/>
  <c r="BM226" i="43"/>
  <c r="AV229" i="43"/>
  <c r="AW207" i="43"/>
  <c r="AW31" i="43" s="1"/>
  <c r="AW199" i="43"/>
  <c r="AW191" i="43"/>
  <c r="AJ207" i="43"/>
  <c r="AJ31" i="43" s="1"/>
  <c r="AJ201" i="43"/>
  <c r="AJ193" i="43"/>
  <c r="AH187" i="43"/>
  <c r="AV203" i="43"/>
  <c r="AV195" i="43"/>
  <c r="AV187" i="43"/>
  <c r="AG205" i="43"/>
  <c r="AM197" i="43"/>
  <c r="AM189" i="43"/>
  <c r="BK223" i="43"/>
  <c r="BJ220" i="43"/>
  <c r="AY223" i="43"/>
  <c r="AV214" i="43"/>
  <c r="AY203" i="43"/>
  <c r="AY195" i="43"/>
  <c r="BA195" i="43" s="1"/>
  <c r="AN209" i="43"/>
  <c r="AN33" i="43" s="1"/>
  <c r="AH199" i="43"/>
  <c r="BJ214" i="43"/>
  <c r="AZ209" i="43"/>
  <c r="AZ33" i="43" s="1"/>
  <c r="BC195" i="43"/>
  <c r="AO207" i="43"/>
  <c r="AO31" i="43" s="1"/>
  <c r="AO199" i="43"/>
  <c r="AL189" i="43"/>
  <c r="BL189" i="43"/>
  <c r="BK195" i="43"/>
  <c r="BQ199" i="43"/>
  <c r="BM205" i="43"/>
  <c r="BM29" i="43" s="1"/>
  <c r="BR201" i="43"/>
  <c r="BN209" i="43"/>
  <c r="BN33" i="43" s="1"/>
  <c r="AK205" i="43"/>
  <c r="BO189" i="43"/>
  <c r="BL205" i="43"/>
  <c r="BL29" i="43" s="1"/>
  <c r="AZ205" i="43"/>
  <c r="BA191" i="43"/>
  <c r="AO205" i="43"/>
  <c r="AO29" i="43" s="1"/>
  <c r="AO197" i="43"/>
  <c r="AL187" i="43"/>
  <c r="BL191" i="43"/>
  <c r="BJ197" i="43"/>
  <c r="BJ201" i="43"/>
  <c r="BJ209" i="43"/>
  <c r="BJ33" i="43" s="1"/>
  <c r="AL207" i="43"/>
  <c r="AL31" i="43" s="1"/>
  <c r="BK189" i="43"/>
  <c r="BO203" i="43"/>
  <c r="BD201" i="43"/>
  <c r="AZ191" i="43"/>
  <c r="AL205" i="43"/>
  <c r="AL197" i="43"/>
  <c r="AK187" i="43"/>
  <c r="BR189" i="43"/>
  <c r="BR193" i="43"/>
  <c r="BJ199" i="43"/>
  <c r="BJ203" i="43"/>
  <c r="BJ207" i="43"/>
  <c r="BJ31" i="43" s="1"/>
  <c r="BA209" i="43"/>
  <c r="BA33" i="43" s="1"/>
  <c r="BD193" i="43"/>
  <c r="AO189" i="43"/>
  <c r="BN195" i="43"/>
  <c r="Z209" i="43"/>
  <c r="Z33" i="43" s="1"/>
  <c r="Z197" i="43"/>
  <c r="Y197" i="43"/>
  <c r="AK201" i="43"/>
  <c r="AZ201" i="43"/>
  <c r="AO191" i="43"/>
  <c r="BM195" i="43"/>
  <c r="BN207" i="43"/>
  <c r="BN31" i="43" s="1"/>
  <c r="AK209" i="43"/>
  <c r="AK33" i="43" s="1"/>
  <c r="Z201" i="43"/>
  <c r="BK197" i="43"/>
  <c r="BK205" i="43"/>
  <c r="BJ191" i="43"/>
  <c r="Y201" i="43"/>
  <c r="BO334" i="43"/>
  <c r="BK334" i="43"/>
  <c r="BO333" i="43"/>
  <c r="BK333" i="43"/>
  <c r="BO331" i="43"/>
  <c r="BK331" i="43"/>
  <c r="BO330" i="43"/>
  <c r="BK330" i="43"/>
  <c r="BO328" i="43"/>
  <c r="BK328" i="43"/>
  <c r="BO327" i="43"/>
  <c r="BK327" i="43"/>
  <c r="BO325" i="43"/>
  <c r="BO337" i="43" s="1"/>
  <c r="BK325" i="43"/>
  <c r="BK337" i="43" s="1"/>
  <c r="BO324" i="43"/>
  <c r="BO336" i="43" s="1"/>
  <c r="BK324" i="43"/>
  <c r="BK336" i="43" s="1"/>
  <c r="BQ319" i="43"/>
  <c r="BL319" i="43"/>
  <c r="BP317" i="43"/>
  <c r="BR317" i="43" s="1"/>
  <c r="BL317" i="43"/>
  <c r="BQ315" i="43"/>
  <c r="BQ322" i="43" s="1"/>
  <c r="BL315" i="43"/>
  <c r="BL322" i="43" s="1"/>
  <c r="BP313" i="43"/>
  <c r="BL313" i="43"/>
  <c r="BL321" i="43" s="1"/>
  <c r="BN334" i="43"/>
  <c r="BJ334" i="43"/>
  <c r="BN333" i="43"/>
  <c r="BJ333" i="43"/>
  <c r="BN331" i="43"/>
  <c r="BJ331" i="43"/>
  <c r="BN330" i="43"/>
  <c r="BJ330" i="43"/>
  <c r="BN328" i="43"/>
  <c r="BJ328" i="43"/>
  <c r="BN327" i="43"/>
  <c r="BJ327" i="43"/>
  <c r="BN325" i="43"/>
  <c r="BN337" i="43" s="1"/>
  <c r="BJ325" i="43"/>
  <c r="BJ337" i="43" s="1"/>
  <c r="BN324" i="43"/>
  <c r="BN336" i="43" s="1"/>
  <c r="BJ324" i="43"/>
  <c r="BJ336" i="43" s="1"/>
  <c r="BP319" i="43"/>
  <c r="BK319" i="43"/>
  <c r="BO317" i="43"/>
  <c r="BK317" i="43"/>
  <c r="BP315" i="43"/>
  <c r="BP322" i="43" s="1"/>
  <c r="BK315" i="43"/>
  <c r="BK322" i="43" s="1"/>
  <c r="BO313" i="43"/>
  <c r="BO321" i="43" s="1"/>
  <c r="BK313" i="43"/>
  <c r="BK321" i="43" s="1"/>
  <c r="BQ334" i="43"/>
  <c r="BM334" i="43"/>
  <c r="BQ333" i="43"/>
  <c r="BM333" i="43"/>
  <c r="BM331" i="43"/>
  <c r="BP331" i="43" s="1"/>
  <c r="BR331" i="43" s="1"/>
  <c r="BQ330" i="43"/>
  <c r="BM330" i="43"/>
  <c r="BM328" i="43"/>
  <c r="BP328" i="43" s="1"/>
  <c r="BR328" i="43" s="1"/>
  <c r="BQ327" i="43"/>
  <c r="BM327" i="43"/>
  <c r="BM325" i="43"/>
  <c r="BQ324" i="43"/>
  <c r="BM324" i="43"/>
  <c r="BN319" i="43"/>
  <c r="BJ319" i="43"/>
  <c r="BN317" i="43"/>
  <c r="BJ317" i="43"/>
  <c r="BN315" i="43"/>
  <c r="BN322" i="43" s="1"/>
  <c r="BJ315" i="43"/>
  <c r="BJ322" i="43" s="1"/>
  <c r="BN313" i="43"/>
  <c r="BN321" i="43" s="1"/>
  <c r="BJ313" i="43"/>
  <c r="BJ321" i="43" s="1"/>
  <c r="BP334" i="43"/>
  <c r="BR334" i="43" s="1"/>
  <c r="BL334" i="43"/>
  <c r="BP333" i="43"/>
  <c r="BR333" i="43" s="1"/>
  <c r="BL333" i="43"/>
  <c r="BQ331" i="43"/>
  <c r="BL331" i="43"/>
  <c r="BP330" i="43"/>
  <c r="BR330" i="43" s="1"/>
  <c r="BL330" i="43"/>
  <c r="BQ328" i="43"/>
  <c r="BL328" i="43"/>
  <c r="BP327" i="43"/>
  <c r="BR327" i="43" s="1"/>
  <c r="BL327" i="43"/>
  <c r="BQ325" i="43"/>
  <c r="BL325" i="43"/>
  <c r="BL337" i="43" s="1"/>
  <c r="BP324" i="43"/>
  <c r="BL324" i="43"/>
  <c r="BL336" i="43" s="1"/>
  <c r="BR319" i="43"/>
  <c r="BM319" i="43"/>
  <c r="BQ317" i="43"/>
  <c r="BM317" i="43"/>
  <c r="BR315" i="43"/>
  <c r="BR322" i="43" s="1"/>
  <c r="BM315" i="43"/>
  <c r="BM322" i="43" s="1"/>
  <c r="BQ313" i="43"/>
  <c r="BQ321" i="43" s="1"/>
  <c r="BM313" i="43"/>
  <c r="BM321" i="43" s="1"/>
  <c r="AZ333" i="43"/>
  <c r="BD334" i="43"/>
  <c r="AZ334" i="43"/>
  <c r="AV334" i="43"/>
  <c r="AY333" i="43"/>
  <c r="BD331" i="43"/>
  <c r="AZ331" i="43"/>
  <c r="AV331" i="43"/>
  <c r="AZ330" i="43"/>
  <c r="AV330" i="43"/>
  <c r="BA328" i="43"/>
  <c r="AW328" i="43"/>
  <c r="BA327" i="43"/>
  <c r="AV327" i="43"/>
  <c r="BA325" i="43"/>
  <c r="AW325" i="43"/>
  <c r="BB324" i="43"/>
  <c r="AX324" i="43"/>
  <c r="BC319" i="43"/>
  <c r="AY319" i="43"/>
  <c r="BD317" i="43"/>
  <c r="AZ317" i="43"/>
  <c r="AV317" i="43"/>
  <c r="AZ315" i="43"/>
  <c r="AV315" i="43"/>
  <c r="BA313" i="43"/>
  <c r="AW313" i="43"/>
  <c r="W333" i="43"/>
  <c r="BC334" i="43"/>
  <c r="AY334" i="43"/>
  <c r="BC333" i="43"/>
  <c r="AX333" i="43"/>
  <c r="BC331" i="43"/>
  <c r="AY331" i="43"/>
  <c r="BC330" i="43"/>
  <c r="AY330" i="43"/>
  <c r="BD328" i="43"/>
  <c r="AZ328" i="43"/>
  <c r="AV328" i="43"/>
  <c r="AY327" i="43"/>
  <c r="BD325" i="43"/>
  <c r="AZ325" i="43"/>
  <c r="AV325" i="43"/>
  <c r="BA324" i="43"/>
  <c r="AW324" i="43"/>
  <c r="BB319" i="43"/>
  <c r="AX319" i="43"/>
  <c r="BC317" i="43"/>
  <c r="AY317" i="43"/>
  <c r="BD315" i="43"/>
  <c r="AY315" i="43"/>
  <c r="BD313" i="43"/>
  <c r="AZ313" i="43"/>
  <c r="AV313" i="43"/>
  <c r="BB334" i="43"/>
  <c r="AX334" i="43"/>
  <c r="BB333" i="43"/>
  <c r="BD333" i="43" s="1"/>
  <c r="AW333" i="43"/>
  <c r="BB331" i="43"/>
  <c r="AX331" i="43"/>
  <c r="BB330" i="43"/>
  <c r="BD330" i="43" s="1"/>
  <c r="AX330" i="43"/>
  <c r="BC328" i="43"/>
  <c r="AY328" i="43"/>
  <c r="BC327" i="43"/>
  <c r="AX327" i="43"/>
  <c r="BC325" i="43"/>
  <c r="BC337" i="43" s="1"/>
  <c r="AY325" i="43"/>
  <c r="BD324" i="43"/>
  <c r="AZ324" i="43"/>
  <c r="AZ336" i="43" s="1"/>
  <c r="AV324" i="43"/>
  <c r="BA319" i="43"/>
  <c r="BA322" i="43" s="1"/>
  <c r="AW319" i="43"/>
  <c r="BB317" i="43"/>
  <c r="AX317" i="43"/>
  <c r="BC315" i="43"/>
  <c r="AX315" i="43"/>
  <c r="BC313" i="43"/>
  <c r="AY313" i="43"/>
  <c r="AY321" i="43" s="1"/>
  <c r="BA334" i="43"/>
  <c r="AW334" i="43"/>
  <c r="BA333" i="43"/>
  <c r="AV333" i="43"/>
  <c r="BA331" i="43"/>
  <c r="AW331" i="43"/>
  <c r="BA330" i="43"/>
  <c r="AW330" i="43"/>
  <c r="BB328" i="43"/>
  <c r="AX328" i="43"/>
  <c r="BB327" i="43"/>
  <c r="BD327" i="43" s="1"/>
  <c r="AW327" i="43"/>
  <c r="BB325" i="43"/>
  <c r="AX325" i="43"/>
  <c r="BC324" i="43"/>
  <c r="AY324" i="43"/>
  <c r="BD319" i="43"/>
  <c r="AZ319" i="43"/>
  <c r="AV319" i="43"/>
  <c r="BA317" i="43"/>
  <c r="AW317" i="43"/>
  <c r="BB315" i="43"/>
  <c r="AW315" i="43"/>
  <c r="AW322" i="43" s="1"/>
  <c r="BB313" i="43"/>
  <c r="AX313" i="43"/>
  <c r="T327" i="43"/>
  <c r="S324" i="43"/>
  <c r="X327" i="43"/>
  <c r="T324" i="43"/>
  <c r="X324" i="43"/>
  <c r="T333" i="43"/>
  <c r="T330" i="43"/>
  <c r="AI334" i="43"/>
  <c r="AH331" i="43"/>
  <c r="AG328" i="43"/>
  <c r="AN324" i="43"/>
  <c r="AL333" i="43"/>
  <c r="AK330" i="43"/>
  <c r="AJ327" i="43"/>
  <c r="AI324" i="43"/>
  <c r="AG333" i="43"/>
  <c r="AN328" i="43"/>
  <c r="AL325" i="43"/>
  <c r="AN333" i="43"/>
  <c r="Y333" i="43"/>
  <c r="AA333" i="43" s="1"/>
  <c r="W331" i="43"/>
  <c r="V328" i="43"/>
  <c r="T325" i="43"/>
  <c r="AI330" i="43"/>
  <c r="AA334" i="43"/>
  <c r="Z331" i="43"/>
  <c r="Y328" i="43"/>
  <c r="S325" i="43"/>
  <c r="AK325" i="43"/>
  <c r="Z333" i="43"/>
  <c r="X330" i="43"/>
  <c r="V327" i="43"/>
  <c r="W324" i="43"/>
  <c r="S328" i="43"/>
  <c r="W328" i="43"/>
  <c r="U327" i="43"/>
  <c r="S333" i="43"/>
  <c r="AM333" i="43"/>
  <c r="AL330" i="43"/>
  <c r="AK327" i="43"/>
  <c r="AJ324" i="43"/>
  <c r="AH333" i="43"/>
  <c r="AG330" i="43"/>
  <c r="AN325" i="43"/>
  <c r="AK334" i="43"/>
  <c r="AJ331" i="43"/>
  <c r="AM331" i="43" s="1"/>
  <c r="AI328" i="43"/>
  <c r="AH325" i="43"/>
  <c r="AM330" i="43"/>
  <c r="X334" i="43"/>
  <c r="S331" i="43"/>
  <c r="Z327" i="43"/>
  <c r="Y324" i="43"/>
  <c r="AH327" i="43"/>
  <c r="W334" i="43"/>
  <c r="V331" i="43"/>
  <c r="U328" i="43"/>
  <c r="AN334" i="43"/>
  <c r="Y327" i="43"/>
  <c r="AA327" i="43" s="1"/>
  <c r="U333" i="43"/>
  <c r="S330" i="43"/>
  <c r="Z325" i="43"/>
  <c r="AI331" i="43"/>
  <c r="Z324" i="43"/>
  <c r="AH328" i="43"/>
  <c r="V324" i="43"/>
  <c r="AA328" i="43"/>
  <c r="AI333" i="43"/>
  <c r="AH330" i="43"/>
  <c r="AG327" i="43"/>
  <c r="AL334" i="43"/>
  <c r="AK331" i="43"/>
  <c r="AJ328" i="43"/>
  <c r="AM328" i="43" s="1"/>
  <c r="AI325" i="43"/>
  <c r="AG334" i="43"/>
  <c r="AN330" i="43"/>
  <c r="AM327" i="43"/>
  <c r="AL324" i="43"/>
  <c r="AL327" i="43"/>
  <c r="T334" i="43"/>
  <c r="V330" i="43"/>
  <c r="S327" i="43"/>
  <c r="U324" i="43"/>
  <c r="AG324" i="43"/>
  <c r="S334" i="43"/>
  <c r="Z330" i="43"/>
  <c r="AA325" i="43"/>
  <c r="AN331" i="43"/>
  <c r="Z334" i="43"/>
  <c r="Y331" i="43"/>
  <c r="X328" i="43"/>
  <c r="V325" i="43"/>
  <c r="U334" i="43"/>
  <c r="AJ334" i="43"/>
  <c r="X333" i="43"/>
  <c r="X331" i="43"/>
  <c r="Y325" i="43"/>
  <c r="AM334" i="43"/>
  <c r="AL331" i="43"/>
  <c r="AK328" i="43"/>
  <c r="AJ325" i="43"/>
  <c r="AM325" i="43" s="1"/>
  <c r="AH334" i="43"/>
  <c r="AG331" i="43"/>
  <c r="AN327" i="43"/>
  <c r="AM324" i="43"/>
  <c r="AK333" i="43"/>
  <c r="AJ330" i="43"/>
  <c r="AI327" i="43"/>
  <c r="AH324" i="43"/>
  <c r="AK324" i="43"/>
  <c r="AA331" i="43"/>
  <c r="Z328" i="43"/>
  <c r="X325" i="43"/>
  <c r="AJ333" i="43"/>
  <c r="Y330" i="43"/>
  <c r="AA330" i="43" s="1"/>
  <c r="V333" i="43"/>
  <c r="U330" i="43"/>
  <c r="W325" i="43"/>
  <c r="AL328" i="43"/>
  <c r="V334" i="43"/>
  <c r="U331" i="43"/>
  <c r="T328" i="43"/>
  <c r="AA324" i="43"/>
  <c r="T331" i="43"/>
  <c r="Y334" i="43"/>
  <c r="W330" i="43"/>
  <c r="AG325" i="43"/>
  <c r="U325" i="43"/>
  <c r="AM313" i="43"/>
  <c r="AM317" i="43"/>
  <c r="AM160" i="43"/>
  <c r="BP156" i="43"/>
  <c r="AM148" i="43"/>
  <c r="Y152" i="43"/>
  <c r="AH177" i="43"/>
  <c r="AW171" i="43"/>
  <c r="BK177" i="43"/>
  <c r="AW177" i="43"/>
  <c r="T174" i="43"/>
  <c r="Y160" i="43"/>
  <c r="BB156" i="43"/>
  <c r="BP152" i="43"/>
  <c r="BB148" i="43"/>
  <c r="AH180" i="43"/>
  <c r="AH174" i="43"/>
  <c r="AW180" i="43"/>
  <c r="T180" i="43"/>
  <c r="T171" i="43"/>
  <c r="BP160" i="43"/>
  <c r="BP148" i="43"/>
  <c r="AM156" i="43"/>
  <c r="BB152" i="43"/>
  <c r="BK171" i="43"/>
  <c r="BK180" i="43"/>
  <c r="BK174" i="43"/>
  <c r="AW168" i="43"/>
  <c r="T168" i="43"/>
  <c r="BB160" i="43"/>
  <c r="Y148" i="43"/>
  <c r="Y156" i="43"/>
  <c r="AM152" i="43"/>
  <c r="AW174" i="43"/>
  <c r="BK168" i="43"/>
  <c r="AH168" i="43"/>
  <c r="AH171" i="43"/>
  <c r="T177" i="43"/>
  <c r="AK63" i="43"/>
  <c r="AG63" i="43"/>
  <c r="AJ62" i="43"/>
  <c r="AJ63" i="43"/>
  <c r="AM62" i="43"/>
  <c r="AI62" i="43"/>
  <c r="AM63" i="43"/>
  <c r="AI63" i="43"/>
  <c r="AL62" i="43"/>
  <c r="AH62" i="43"/>
  <c r="AL56" i="43"/>
  <c r="AL63" i="43"/>
  <c r="AH63" i="43"/>
  <c r="AK62" i="43"/>
  <c r="AG62" i="43"/>
  <c r="BO56" i="43"/>
  <c r="AN63" i="43"/>
  <c r="AO62" i="43"/>
  <c r="AN62" i="43"/>
  <c r="AO63" i="43"/>
  <c r="BK62" i="43"/>
  <c r="BM62" i="43"/>
  <c r="BN63" i="43"/>
  <c r="BL63" i="43"/>
  <c r="BQ63" i="43"/>
  <c r="BJ63" i="43"/>
  <c r="BL62" i="43"/>
  <c r="BR63" i="43"/>
  <c r="BN62" i="43"/>
  <c r="BO62" i="43"/>
  <c r="BQ62" i="43"/>
  <c r="BO63" i="43"/>
  <c r="BP62" i="43"/>
  <c r="BJ62" i="43"/>
  <c r="BK63" i="43"/>
  <c r="BP63" i="43"/>
  <c r="BM63" i="43"/>
  <c r="BR62" i="43"/>
  <c r="AA62" i="43"/>
  <c r="BC62" i="43"/>
  <c r="Z62" i="43"/>
  <c r="BD63" i="43"/>
  <c r="Z63" i="43"/>
  <c r="AA63" i="43"/>
  <c r="BC63" i="43"/>
  <c r="Y86" i="43"/>
  <c r="BP93" i="43"/>
  <c r="BP86" i="43"/>
  <c r="V63" i="43"/>
  <c r="X62" i="43"/>
  <c r="X63" i="43"/>
  <c r="S63" i="43"/>
  <c r="AY63" i="43"/>
  <c r="AZ63" i="43"/>
  <c r="AX62" i="43"/>
  <c r="S86" i="43"/>
  <c r="T93" i="43"/>
  <c r="T96" i="43" s="1"/>
  <c r="V82" i="43"/>
  <c r="AJ82" i="43"/>
  <c r="BM93" i="43"/>
  <c r="BM96" i="43" s="1"/>
  <c r="AY86" i="43"/>
  <c r="BO82" i="43"/>
  <c r="BO90" i="43" s="1"/>
  <c r="AJ93" i="43"/>
  <c r="AJ96" i="43" s="1"/>
  <c r="AX93" i="43"/>
  <c r="AX96" i="43" s="1"/>
  <c r="BK86" i="43"/>
  <c r="AI93" i="43"/>
  <c r="AI96" i="43" s="1"/>
  <c r="AV82" i="43"/>
  <c r="AH86" i="43"/>
  <c r="BM86" i="43"/>
  <c r="AH93" i="43"/>
  <c r="AH96" i="43" s="1"/>
  <c r="AV86" i="43"/>
  <c r="N30" i="66"/>
  <c r="Y82" i="43"/>
  <c r="BB86" i="43"/>
  <c r="AM93" i="43"/>
  <c r="W62" i="43"/>
  <c r="Y63" i="43"/>
  <c r="T63" i="43"/>
  <c r="T62" i="43"/>
  <c r="AW63" i="43"/>
  <c r="BB63" i="43"/>
  <c r="AY62" i="43"/>
  <c r="S93" i="43"/>
  <c r="S96" i="43" s="1"/>
  <c r="U82" i="43"/>
  <c r="V86" i="43"/>
  <c r="W82" i="43"/>
  <c r="W90" i="43" s="1"/>
  <c r="K13" i="66" s="1"/>
  <c r="BC82" i="43"/>
  <c r="BC90" i="43" s="1"/>
  <c r="BK82" i="43"/>
  <c r="AJ86" i="43"/>
  <c r="BL93" i="43"/>
  <c r="BL96" i="43" s="1"/>
  <c r="AX86" i="43"/>
  <c r="BN82" i="43"/>
  <c r="BN90" i="43" s="1"/>
  <c r="AI86" i="43"/>
  <c r="Z82" i="43"/>
  <c r="Z90" i="43" s="1"/>
  <c r="N13" i="66" s="1"/>
  <c r="AW93" i="43"/>
  <c r="AW96" i="43" s="1"/>
  <c r="BJ86" i="43"/>
  <c r="AG82" i="43"/>
  <c r="BL82" i="43"/>
  <c r="AK82" i="43"/>
  <c r="AK90" i="43" s="1"/>
  <c r="X82" i="43"/>
  <c r="X90" i="43" s="1"/>
  <c r="L13" i="66" s="1"/>
  <c r="L30" i="66"/>
  <c r="AM86" i="43"/>
  <c r="BP82" i="43"/>
  <c r="Y93" i="43"/>
  <c r="Y96" i="43" s="1"/>
  <c r="S62" i="43"/>
  <c r="U63" i="43"/>
  <c r="Y62" i="43"/>
  <c r="AX63" i="43"/>
  <c r="AW62" i="43"/>
  <c r="AV63" i="43"/>
  <c r="BA63" i="43"/>
  <c r="T82" i="43"/>
  <c r="U86" i="43"/>
  <c r="V93" i="43"/>
  <c r="V96" i="43" s="1"/>
  <c r="AG93" i="43"/>
  <c r="AG96" i="43" s="1"/>
  <c r="AX82" i="43"/>
  <c r="AX90" i="43" s="1"/>
  <c r="AN82" i="43"/>
  <c r="AN90" i="43" s="1"/>
  <c r="BA82" i="43"/>
  <c r="BA90" i="43" s="1"/>
  <c r="AL82" i="43"/>
  <c r="AL90" i="43" s="1"/>
  <c r="BK93" i="43"/>
  <c r="BK96" i="43" s="1"/>
  <c r="AW86" i="43"/>
  <c r="BM82" i="43"/>
  <c r="AY82" i="43"/>
  <c r="BQ82" i="43"/>
  <c r="BQ90" i="43" s="1"/>
  <c r="K30" i="66"/>
  <c r="BB93" i="43"/>
  <c r="AM82" i="43"/>
  <c r="BB82" i="43"/>
  <c r="W63" i="43"/>
  <c r="V62" i="43"/>
  <c r="U62" i="43"/>
  <c r="BA62" i="43"/>
  <c r="AZ62" i="43"/>
  <c r="AV62" i="43"/>
  <c r="S82" i="43"/>
  <c r="T86" i="43"/>
  <c r="U93" i="43"/>
  <c r="U96" i="43" s="1"/>
  <c r="BJ82" i="43"/>
  <c r="AG86" i="43"/>
  <c r="AY93" i="43"/>
  <c r="AY96" i="43" s="1"/>
  <c r="BL86" i="43"/>
  <c r="AI82" i="43"/>
  <c r="AW82" i="43"/>
  <c r="AH82" i="43"/>
  <c r="AH90" i="43" s="1"/>
  <c r="AZ82" i="43"/>
  <c r="AZ90" i="43" s="1"/>
  <c r="BJ93" i="43"/>
  <c r="BJ96" i="43" s="1"/>
  <c r="AV93" i="43"/>
  <c r="AV96" i="43" s="1"/>
  <c r="AY56" i="43"/>
  <c r="BB62" i="43"/>
  <c r="BD62" i="43"/>
  <c r="BB31" i="43"/>
  <c r="AZ29" i="43"/>
  <c r="BK29" i="43"/>
  <c r="AN29" i="43"/>
  <c r="AK29" i="43"/>
  <c r="AN27" i="43"/>
  <c r="BL27" i="43"/>
  <c r="AI27" i="43"/>
  <c r="AG27" i="43"/>
  <c r="Z29" i="43"/>
  <c r="BB29" i="43"/>
  <c r="AW27" i="43"/>
  <c r="BB27" i="43"/>
  <c r="AV27" i="43"/>
  <c r="BN29" i="43"/>
  <c r="AG29" i="43"/>
  <c r="AJ29" i="43"/>
  <c r="BN27" i="43"/>
  <c r="BK27" i="43"/>
  <c r="BD29" i="43"/>
  <c r="BA29" i="43"/>
  <c r="BR29" i="43"/>
  <c r="BQ29" i="43"/>
  <c r="AL29" i="43"/>
  <c r="BP27" i="43"/>
  <c r="BO27" i="43"/>
  <c r="BP65" i="43"/>
  <c r="BC27" i="43"/>
  <c r="Y29" i="43"/>
  <c r="AV29" i="43"/>
  <c r="AY27" i="43"/>
  <c r="AX27" i="43"/>
  <c r="BO29" i="43"/>
  <c r="AM29" i="43"/>
  <c r="AH29" i="43"/>
  <c r="BJ29" i="43"/>
  <c r="AI29" i="43"/>
  <c r="BQ27" i="43"/>
  <c r="AM27" i="43"/>
  <c r="BM27" i="43"/>
  <c r="BJ27" i="43"/>
  <c r="BC29" i="43"/>
  <c r="BD27" i="43"/>
  <c r="AX29" i="43"/>
  <c r="BA27" i="43"/>
  <c r="AZ27" i="43"/>
  <c r="AH27" i="43"/>
  <c r="AL27" i="43"/>
  <c r="BR27" i="43"/>
  <c r="AW29" i="43"/>
  <c r="BJ306" i="43"/>
  <c r="BJ72" i="43" s="1"/>
  <c r="BQ306" i="43"/>
  <c r="BQ72" i="43" s="1"/>
  <c r="BM306" i="43"/>
  <c r="BM72" i="43" s="1"/>
  <c r="BP305" i="43"/>
  <c r="BR305" i="43" s="1"/>
  <c r="BR71" i="43" s="1"/>
  <c r="BL305" i="43"/>
  <c r="BL71" i="43" s="1"/>
  <c r="BQ303" i="43"/>
  <c r="BQ60" i="43" s="1"/>
  <c r="BL303" i="43"/>
  <c r="BL60" i="43" s="1"/>
  <c r="BP302" i="43"/>
  <c r="BR302" i="43" s="1"/>
  <c r="BR59" i="43" s="1"/>
  <c r="BL302" i="43"/>
  <c r="BL59" i="43" s="1"/>
  <c r="BQ300" i="43"/>
  <c r="BL300" i="43"/>
  <c r="BP299" i="43"/>
  <c r="BR299" i="43" s="1"/>
  <c r="BL299" i="43"/>
  <c r="BQ297" i="43"/>
  <c r="BL297" i="43"/>
  <c r="BP296" i="43"/>
  <c r="BR296" i="43" s="1"/>
  <c r="BL296" i="43"/>
  <c r="BR294" i="43"/>
  <c r="BN294" i="43"/>
  <c r="BJ294" i="43"/>
  <c r="BN293" i="43"/>
  <c r="BJ293" i="43"/>
  <c r="BP291" i="43"/>
  <c r="BL291" i="43"/>
  <c r="BP290" i="43"/>
  <c r="BL290" i="43"/>
  <c r="BQ285" i="43"/>
  <c r="BM285" i="43"/>
  <c r="BQ283" i="43"/>
  <c r="BM283" i="43"/>
  <c r="BR281" i="43"/>
  <c r="BP306" i="43"/>
  <c r="BR306" i="43" s="1"/>
  <c r="BL306" i="43"/>
  <c r="BO305" i="43"/>
  <c r="BO71" i="43" s="1"/>
  <c r="BK305" i="43"/>
  <c r="BK71" i="43" s="1"/>
  <c r="BO303" i="43"/>
  <c r="BK303" i="43"/>
  <c r="BK60" i="43" s="1"/>
  <c r="BO302" i="43"/>
  <c r="BO59" i="43" s="1"/>
  <c r="BK302" i="43"/>
  <c r="BK59" i="43" s="1"/>
  <c r="BO300" i="43"/>
  <c r="BK300" i="43"/>
  <c r="BO299" i="43"/>
  <c r="BK299" i="43"/>
  <c r="BO297" i="43"/>
  <c r="BK297" i="43"/>
  <c r="BO296" i="43"/>
  <c r="BK296" i="43"/>
  <c r="BQ294" i="43"/>
  <c r="BM294" i="43"/>
  <c r="BQ293" i="43"/>
  <c r="BM293" i="43"/>
  <c r="BO291" i="43"/>
  <c r="BK291" i="43"/>
  <c r="BO290" i="43"/>
  <c r="BK290" i="43"/>
  <c r="BP285" i="43"/>
  <c r="BL285" i="43"/>
  <c r="BP283" i="43"/>
  <c r="BR283" i="43" s="1"/>
  <c r="BL283" i="43"/>
  <c r="BQ281" i="43"/>
  <c r="BM281" i="43"/>
  <c r="BQ279" i="43"/>
  <c r="BM279" i="43"/>
  <c r="BR277" i="43"/>
  <c r="BN277" i="43"/>
  <c r="BJ277" i="43"/>
  <c r="BN275" i="43"/>
  <c r="BJ275" i="43"/>
  <c r="BO273" i="43"/>
  <c r="BK273" i="43"/>
  <c r="BO271" i="43"/>
  <c r="BO306" i="43"/>
  <c r="BO72" i="43" s="1"/>
  <c r="BK306" i="43"/>
  <c r="BK72" i="43" s="1"/>
  <c r="BN305" i="43"/>
  <c r="BN71" i="43" s="1"/>
  <c r="BJ305" i="43"/>
  <c r="BJ71" i="43" s="1"/>
  <c r="BN303" i="43"/>
  <c r="BN60" i="43" s="1"/>
  <c r="BJ303" i="43"/>
  <c r="BJ60" i="43" s="1"/>
  <c r="BN302" i="43"/>
  <c r="BN59" i="43" s="1"/>
  <c r="BJ302" i="43"/>
  <c r="BJ59" i="43" s="1"/>
  <c r="BN300" i="43"/>
  <c r="BJ300" i="43"/>
  <c r="BN299" i="43"/>
  <c r="BJ299" i="43"/>
  <c r="BN297" i="43"/>
  <c r="BJ297" i="43"/>
  <c r="BN296" i="43"/>
  <c r="BJ296" i="43"/>
  <c r="BP294" i="43"/>
  <c r="BL294" i="43"/>
  <c r="BP293" i="43"/>
  <c r="BR293" i="43" s="1"/>
  <c r="BL293" i="43"/>
  <c r="BR291" i="43"/>
  <c r="BN291" i="43"/>
  <c r="BJ291" i="43"/>
  <c r="BN290" i="43"/>
  <c r="BJ290" i="43"/>
  <c r="BO285" i="43"/>
  <c r="BK285" i="43"/>
  <c r="BO283" i="43"/>
  <c r="BK283" i="43"/>
  <c r="BP281" i="43"/>
  <c r="BL281" i="43"/>
  <c r="BP279" i="43"/>
  <c r="BR279" i="43" s="1"/>
  <c r="BL279" i="43"/>
  <c r="BQ277" i="43"/>
  <c r="BM277" i="43"/>
  <c r="BQ275" i="43"/>
  <c r="BM275" i="43"/>
  <c r="BR273" i="43"/>
  <c r="BN273" i="43"/>
  <c r="BN306" i="43"/>
  <c r="BN72" i="43" s="1"/>
  <c r="BQ305" i="43"/>
  <c r="BQ71" i="43" s="1"/>
  <c r="BM305" i="43"/>
  <c r="BM71" i="43" s="1"/>
  <c r="BM303" i="43"/>
  <c r="BP303" i="43" s="1"/>
  <c r="BR303" i="43" s="1"/>
  <c r="BR60" i="43" s="1"/>
  <c r="BQ302" i="43"/>
  <c r="BQ59" i="43" s="1"/>
  <c r="BM302" i="43"/>
  <c r="BM59" i="43" s="1"/>
  <c r="BM300" i="43"/>
  <c r="BP300" i="43" s="1"/>
  <c r="BQ299" i="43"/>
  <c r="BM299" i="43"/>
  <c r="BM297" i="43"/>
  <c r="BP297" i="43" s="1"/>
  <c r="BR297" i="43" s="1"/>
  <c r="BQ296" i="43"/>
  <c r="BM296" i="43"/>
  <c r="BO294" i="43"/>
  <c r="BK294" i="43"/>
  <c r="BO293" i="43"/>
  <c r="BK293" i="43"/>
  <c r="BQ291" i="43"/>
  <c r="BM291" i="43"/>
  <c r="BQ290" i="43"/>
  <c r="BM290" i="43"/>
  <c r="BR285" i="43"/>
  <c r="BN285" i="43"/>
  <c r="BJ285" i="43"/>
  <c r="BN283" i="43"/>
  <c r="BJ283" i="43"/>
  <c r="BO281" i="43"/>
  <c r="BK281" i="43"/>
  <c r="BO279" i="43"/>
  <c r="BK279" i="43"/>
  <c r="BP277" i="43"/>
  <c r="BL277" i="43"/>
  <c r="BP275" i="43"/>
  <c r="BR275" i="43" s="1"/>
  <c r="BL275" i="43"/>
  <c r="BQ273" i="43"/>
  <c r="BM273" i="43"/>
  <c r="BQ271" i="43"/>
  <c r="BJ279" i="43"/>
  <c r="BK275" i="43"/>
  <c r="BP271" i="43"/>
  <c r="BK271" i="43"/>
  <c r="BC306" i="43"/>
  <c r="BC72" i="43" s="1"/>
  <c r="AY306" i="43"/>
  <c r="BC305" i="43"/>
  <c r="BC71" i="43" s="1"/>
  <c r="AY305" i="43"/>
  <c r="BD303" i="43"/>
  <c r="BD60" i="43" s="1"/>
  <c r="AZ303" i="43"/>
  <c r="AV303" i="43"/>
  <c r="AZ302" i="43"/>
  <c r="AZ59" i="43" s="1"/>
  <c r="AV302" i="43"/>
  <c r="BA300" i="43"/>
  <c r="AW300" i="43"/>
  <c r="BA299" i="43"/>
  <c r="AV299" i="43"/>
  <c r="BA297" i="43"/>
  <c r="AW297" i="43"/>
  <c r="BA296" i="43"/>
  <c r="AW296" i="43"/>
  <c r="BB294" i="43"/>
  <c r="AX294" i="43"/>
  <c r="BB293" i="43"/>
  <c r="BD293" i="43" s="1"/>
  <c r="AX293" i="43"/>
  <c r="BC291" i="43"/>
  <c r="AY291" i="43"/>
  <c r="BC290" i="43"/>
  <c r="AY290" i="43"/>
  <c r="BD285" i="43"/>
  <c r="AZ285" i="43"/>
  <c r="AV285" i="43"/>
  <c r="AZ283" i="43"/>
  <c r="BN281" i="43"/>
  <c r="BO277" i="43"/>
  <c r="BP273" i="43"/>
  <c r="BN271" i="43"/>
  <c r="BJ271" i="43"/>
  <c r="BB306" i="43"/>
  <c r="AX306" i="43"/>
  <c r="BB305" i="43"/>
  <c r="BD305" i="43" s="1"/>
  <c r="BD71" i="43" s="1"/>
  <c r="AX305" i="43"/>
  <c r="BC303" i="43"/>
  <c r="BC60" i="43" s="1"/>
  <c r="AY303" i="43"/>
  <c r="BC302" i="43"/>
  <c r="BC59" i="43" s="1"/>
  <c r="AY302" i="43"/>
  <c r="BD300" i="43"/>
  <c r="AZ300" i="43"/>
  <c r="AV300" i="43"/>
  <c r="AY299" i="43"/>
  <c r="BD297" i="43"/>
  <c r="AZ297" i="43"/>
  <c r="AV297" i="43"/>
  <c r="AZ296" i="43"/>
  <c r="AV296" i="43"/>
  <c r="BA294" i="43"/>
  <c r="AW294" i="43"/>
  <c r="BA293" i="43"/>
  <c r="AW293" i="43"/>
  <c r="BB291" i="43"/>
  <c r="AX291" i="43"/>
  <c r="BB290" i="43"/>
  <c r="AX290" i="43"/>
  <c r="BC285" i="43"/>
  <c r="AY285" i="43"/>
  <c r="BC283" i="43"/>
  <c r="AY283" i="43"/>
  <c r="BJ281" i="43"/>
  <c r="BK277" i="43"/>
  <c r="BL273" i="43"/>
  <c r="BM271" i="43"/>
  <c r="BA306" i="43"/>
  <c r="AW306" i="43"/>
  <c r="BA305" i="43"/>
  <c r="AW305" i="43"/>
  <c r="BB303" i="43"/>
  <c r="AX303" i="43"/>
  <c r="BB302" i="43"/>
  <c r="BD302" i="43" s="1"/>
  <c r="BD59" i="43" s="1"/>
  <c r="AX302" i="43"/>
  <c r="BC300" i="43"/>
  <c r="AY300" i="43"/>
  <c r="BC299" i="43"/>
  <c r="AX299" i="43"/>
  <c r="BC297" i="43"/>
  <c r="AY297" i="43"/>
  <c r="BC296" i="43"/>
  <c r="AY296" i="43"/>
  <c r="BD294" i="43"/>
  <c r="AZ294" i="43"/>
  <c r="AV294" i="43"/>
  <c r="AZ293" i="43"/>
  <c r="AV293" i="43"/>
  <c r="BA291" i="43"/>
  <c r="AW291" i="43"/>
  <c r="BA290" i="43"/>
  <c r="AW290" i="43"/>
  <c r="BB285" i="43"/>
  <c r="AX285" i="43"/>
  <c r="BB283" i="43"/>
  <c r="BD283" i="43" s="1"/>
  <c r="AX283" i="43"/>
  <c r="BN279" i="43"/>
  <c r="BO275" i="43"/>
  <c r="BJ273" i="43"/>
  <c r="BL271" i="43"/>
  <c r="BD306" i="43"/>
  <c r="BD72" i="43" s="1"/>
  <c r="AZ306" i="43"/>
  <c r="AV306" i="43"/>
  <c r="AZ305" i="43"/>
  <c r="AZ71" i="43" s="1"/>
  <c r="AV305" i="43"/>
  <c r="BA303" i="43"/>
  <c r="AW303" i="43"/>
  <c r="BA302" i="43"/>
  <c r="AW302" i="43"/>
  <c r="BB300" i="43"/>
  <c r="AX300" i="43"/>
  <c r="BB299" i="43"/>
  <c r="BD299" i="43" s="1"/>
  <c r="AW299" i="43"/>
  <c r="BB297" i="43"/>
  <c r="AX297" i="43"/>
  <c r="BB296" i="43"/>
  <c r="BD296" i="43" s="1"/>
  <c r="AX296" i="43"/>
  <c r="BC294" i="43"/>
  <c r="AY294" i="43"/>
  <c r="BC293" i="43"/>
  <c r="AY293" i="43"/>
  <c r="BD291" i="43"/>
  <c r="AZ291" i="43"/>
  <c r="AV291" i="43"/>
  <c r="AZ290" i="43"/>
  <c r="AV290" i="43"/>
  <c r="BA285" i="43"/>
  <c r="AW285" i="43"/>
  <c r="BA283" i="43"/>
  <c r="AW277" i="43"/>
  <c r="BC279" i="43"/>
  <c r="AW283" i="43"/>
  <c r="BB281" i="43"/>
  <c r="AX281" i="43"/>
  <c r="BB279" i="43"/>
  <c r="BD279" i="43" s="1"/>
  <c r="AX279" i="43"/>
  <c r="BC277" i="43"/>
  <c r="AY277" i="43"/>
  <c r="BC275" i="43"/>
  <c r="AY275" i="43"/>
  <c r="BD273" i="43"/>
  <c r="AZ273" i="43"/>
  <c r="AV273" i="43"/>
  <c r="AZ271" i="43"/>
  <c r="AV271" i="43"/>
  <c r="T302" i="43"/>
  <c r="AZ281" i="43"/>
  <c r="AZ279" i="43"/>
  <c r="AV279" i="43"/>
  <c r="BA275" i="43"/>
  <c r="BB273" i="43"/>
  <c r="BB271" i="43"/>
  <c r="BC281" i="43"/>
  <c r="AY279" i="43"/>
  <c r="AZ277" i="43"/>
  <c r="AZ275" i="43"/>
  <c r="BA273" i="43"/>
  <c r="BA271" i="43"/>
  <c r="AV283" i="43"/>
  <c r="BA281" i="43"/>
  <c r="AW281" i="43"/>
  <c r="BA279" i="43"/>
  <c r="AW279" i="43"/>
  <c r="BB277" i="43"/>
  <c r="AX277" i="43"/>
  <c r="BB275" i="43"/>
  <c r="BD275" i="43" s="1"/>
  <c r="AX275" i="43"/>
  <c r="BC273" i="43"/>
  <c r="AY273" i="43"/>
  <c r="BC271" i="43"/>
  <c r="AY271" i="43"/>
  <c r="W302" i="43"/>
  <c r="W59" i="43" s="1"/>
  <c r="T296" i="43"/>
  <c r="BD281" i="43"/>
  <c r="AV281" i="43"/>
  <c r="BA277" i="43"/>
  <c r="AW275" i="43"/>
  <c r="AX273" i="43"/>
  <c r="AX271" i="43"/>
  <c r="T299" i="43"/>
  <c r="S296" i="43"/>
  <c r="AY281" i="43"/>
  <c r="BD277" i="43"/>
  <c r="AV277" i="43"/>
  <c r="AV275" i="43"/>
  <c r="AW273" i="43"/>
  <c r="AW271" i="43"/>
  <c r="T305" i="43"/>
  <c r="Y302" i="43"/>
  <c r="AM299" i="43"/>
  <c r="Y275" i="43"/>
  <c r="AM279" i="43"/>
  <c r="AM23" i="43" s="1"/>
  <c r="Y279" i="43"/>
  <c r="Y299" i="43"/>
  <c r="Y305" i="43"/>
  <c r="AM283" i="43"/>
  <c r="Y296" i="43"/>
  <c r="Y290" i="43"/>
  <c r="AM305" i="43"/>
  <c r="Y283" i="43"/>
  <c r="W305" i="43"/>
  <c r="W71" i="43" s="1"/>
  <c r="AM306" i="43"/>
  <c r="AM72" i="43" s="1"/>
  <c r="Y271" i="43"/>
  <c r="AM293" i="43"/>
  <c r="AM302" i="43"/>
  <c r="AM59" i="43" s="1"/>
  <c r="Y293" i="43"/>
  <c r="AM296" i="43"/>
  <c r="AM271" i="43"/>
  <c r="AM275" i="43"/>
  <c r="AM15" i="43" s="1"/>
  <c r="AM290" i="43"/>
  <c r="AJ297" i="43"/>
  <c r="AM297" i="43" s="1"/>
  <c r="AG303" i="43"/>
  <c r="AG60" i="43" s="1"/>
  <c r="AI306" i="43"/>
  <c r="AH300" i="43"/>
  <c r="Y277" i="43"/>
  <c r="Y281" i="43"/>
  <c r="AJ300" i="43"/>
  <c r="AM300" i="43" s="1"/>
  <c r="AO300" i="43" s="1"/>
  <c r="AI297" i="43"/>
  <c r="AG297" i="43"/>
  <c r="AH303" i="43"/>
  <c r="AH60" i="43" s="1"/>
  <c r="Z281" i="43"/>
  <c r="Y273" i="43"/>
  <c r="AJ303" i="43"/>
  <c r="AM303" i="43" s="1"/>
  <c r="AI300" i="43"/>
  <c r="AG306" i="43"/>
  <c r="AG72" i="43" s="1"/>
  <c r="AJ306" i="43"/>
  <c r="AJ72" i="43" s="1"/>
  <c r="Z273" i="43"/>
  <c r="Z277" i="43"/>
  <c r="AH306" i="43"/>
  <c r="AH72" i="43" s="1"/>
  <c r="AI303" i="43"/>
  <c r="AI60" i="43" s="1"/>
  <c r="AH297" i="43"/>
  <c r="AG300" i="43"/>
  <c r="Y285" i="43"/>
  <c r="Z285" i="43"/>
  <c r="AI72" i="43"/>
  <c r="BR72" i="43"/>
  <c r="AN250" i="43"/>
  <c r="AM250" i="43"/>
  <c r="AO250" i="43" s="1"/>
  <c r="S263" i="43"/>
  <c r="S68" i="43" s="1"/>
  <c r="BP250" i="43"/>
  <c r="Y260" i="43"/>
  <c r="BP257" i="43"/>
  <c r="BP246" i="43"/>
  <c r="BB250" i="43"/>
  <c r="BB263" i="43"/>
  <c r="AM263" i="43"/>
  <c r="AM68" i="43" s="1"/>
  <c r="BB246" i="43"/>
  <c r="Y246" i="43"/>
  <c r="Y250" i="43"/>
  <c r="Z246" i="43"/>
  <c r="AM260" i="43"/>
  <c r="AM53" i="43" s="1"/>
  <c r="BP263" i="43"/>
  <c r="BP68" i="43" s="1"/>
  <c r="BP260" i="43"/>
  <c r="Y257" i="43"/>
  <c r="BB260" i="43"/>
  <c r="AM246" i="43"/>
  <c r="BB257" i="43"/>
  <c r="AM257" i="43"/>
  <c r="AM50" i="43" s="1"/>
  <c r="Y263" i="43"/>
  <c r="Z250" i="43"/>
  <c r="AM60" i="43"/>
  <c r="BO60" i="43"/>
  <c r="BK158" i="43"/>
  <c r="BK160" i="43"/>
  <c r="BK156" i="43"/>
  <c r="BK152" i="43"/>
  <c r="BK15" i="43" s="1"/>
  <c r="BM148" i="43"/>
  <c r="BP180" i="43"/>
  <c r="BL180" i="43"/>
  <c r="BP179" i="43"/>
  <c r="BL179" i="43"/>
  <c r="BP177" i="43"/>
  <c r="BL177" i="43"/>
  <c r="BP176" i="43"/>
  <c r="BP44" i="43" s="1"/>
  <c r="BL176" i="43"/>
  <c r="BL44" i="43" s="1"/>
  <c r="BP174" i="43"/>
  <c r="BL174" i="43"/>
  <c r="BP173" i="43"/>
  <c r="BP41" i="43" s="1"/>
  <c r="BL173" i="43"/>
  <c r="BP171" i="43"/>
  <c r="BL171" i="43"/>
  <c r="BP170" i="43"/>
  <c r="BL170" i="43"/>
  <c r="BP168" i="43"/>
  <c r="BL168" i="43"/>
  <c r="BL183" i="43" s="1"/>
  <c r="BP167" i="43"/>
  <c r="BL167" i="43"/>
  <c r="BL35" i="43" s="1"/>
  <c r="BP162" i="43"/>
  <c r="BL162" i="43"/>
  <c r="BO160" i="43"/>
  <c r="BP158" i="43"/>
  <c r="BL158" i="43"/>
  <c r="BN156" i="43"/>
  <c r="BP154" i="43"/>
  <c r="BP17" i="43" s="1"/>
  <c r="BL154" i="43"/>
  <c r="BO152" i="43"/>
  <c r="BP150" i="43"/>
  <c r="BL150" i="43"/>
  <c r="BN148" i="43"/>
  <c r="BK179" i="43"/>
  <c r="BK173" i="43"/>
  <c r="BK167" i="43"/>
  <c r="BK35" i="43" s="1"/>
  <c r="BK150" i="43"/>
  <c r="BJ160" i="43"/>
  <c r="BJ156" i="43"/>
  <c r="BJ152" i="43"/>
  <c r="BJ15" i="43" s="1"/>
  <c r="BJ148" i="43"/>
  <c r="BO180" i="43"/>
  <c r="BJ180" i="43"/>
  <c r="BO179" i="43"/>
  <c r="BJ179" i="43"/>
  <c r="BO177" i="43"/>
  <c r="BJ177" i="43"/>
  <c r="BO176" i="43"/>
  <c r="BJ176" i="43"/>
  <c r="BJ44" i="43" s="1"/>
  <c r="BO174" i="43"/>
  <c r="BJ174" i="43"/>
  <c r="BO173" i="43"/>
  <c r="BJ173" i="43"/>
  <c r="BO171" i="43"/>
  <c r="BJ171" i="43"/>
  <c r="BO170" i="43"/>
  <c r="BJ170" i="43"/>
  <c r="BJ38" i="43" s="1"/>
  <c r="BO168" i="43"/>
  <c r="BO183" i="43" s="1"/>
  <c r="BJ168" i="43"/>
  <c r="BO167" i="43"/>
  <c r="BO35" i="43" s="1"/>
  <c r="BJ167" i="43"/>
  <c r="BJ35" i="43" s="1"/>
  <c r="BO162" i="43"/>
  <c r="BJ162" i="43"/>
  <c r="BN160" i="43"/>
  <c r="BO158" i="43"/>
  <c r="BJ158" i="43"/>
  <c r="BO154" i="43"/>
  <c r="BJ154" i="43"/>
  <c r="BN152" i="43"/>
  <c r="BO150" i="43"/>
  <c r="BJ150" i="43"/>
  <c r="BK154" i="43"/>
  <c r="BM160" i="43"/>
  <c r="BM156" i="43"/>
  <c r="BM152" i="43"/>
  <c r="BK148" i="43"/>
  <c r="BR180" i="43"/>
  <c r="BN180" i="43"/>
  <c r="BR179" i="43"/>
  <c r="BN179" i="43"/>
  <c r="BR177" i="43"/>
  <c r="BN177" i="43"/>
  <c r="BR176" i="43"/>
  <c r="BN176" i="43"/>
  <c r="BR174" i="43"/>
  <c r="BN174" i="43"/>
  <c r="BR173" i="43"/>
  <c r="BN173" i="43"/>
  <c r="BR171" i="43"/>
  <c r="BN171" i="43"/>
  <c r="BR170" i="43"/>
  <c r="BN170" i="43"/>
  <c r="BR168" i="43"/>
  <c r="BN168" i="43"/>
  <c r="BN183" i="43" s="1"/>
  <c r="BR167" i="43"/>
  <c r="BR35" i="43" s="1"/>
  <c r="BN167" i="43"/>
  <c r="BN35" i="43" s="1"/>
  <c r="BR162" i="43"/>
  <c r="BN162" i="43"/>
  <c r="BR160" i="43"/>
  <c r="BR158" i="43"/>
  <c r="BN158" i="43"/>
  <c r="BR156" i="43"/>
  <c r="BR154" i="43"/>
  <c r="BN154" i="43"/>
  <c r="BN17" i="43" s="1"/>
  <c r="BR152" i="43"/>
  <c r="BR150" i="43"/>
  <c r="BN150" i="43"/>
  <c r="BR148" i="43"/>
  <c r="BL160" i="43"/>
  <c r="BM179" i="43"/>
  <c r="BM176" i="43"/>
  <c r="BM44" i="43" s="1"/>
  <c r="BM173" i="43"/>
  <c r="BM170" i="43"/>
  <c r="BM167" i="43"/>
  <c r="BM35" i="43" s="1"/>
  <c r="BQ158" i="43"/>
  <c r="BM154" i="43"/>
  <c r="BO148" i="43"/>
  <c r="BB180" i="43"/>
  <c r="AX180" i="43"/>
  <c r="BB179" i="43"/>
  <c r="AX179" i="43"/>
  <c r="BB177" i="43"/>
  <c r="AX177" i="43"/>
  <c r="BB176" i="43"/>
  <c r="AX176" i="43"/>
  <c r="AX44" i="43" s="1"/>
  <c r="BB174" i="43"/>
  <c r="AX174" i="43"/>
  <c r="BB173" i="43"/>
  <c r="AX173" i="43"/>
  <c r="BB171" i="43"/>
  <c r="AX171" i="43"/>
  <c r="BB170" i="43"/>
  <c r="BB38" i="43" s="1"/>
  <c r="AX170" i="43"/>
  <c r="AX38" i="43" s="1"/>
  <c r="BB168" i="43"/>
  <c r="BB183" i="43" s="1"/>
  <c r="AX168" i="43"/>
  <c r="AX183" i="43" s="1"/>
  <c r="BB167" i="43"/>
  <c r="BB182" i="43" s="1"/>
  <c r="AX167" i="43"/>
  <c r="AX182" i="43" s="1"/>
  <c r="AW154" i="43"/>
  <c r="AW160" i="43"/>
  <c r="AW156" i="43"/>
  <c r="AW152" i="43"/>
  <c r="AY148" i="43"/>
  <c r="BB162" i="43"/>
  <c r="AX162" i="43"/>
  <c r="AZ160" i="43"/>
  <c r="BA158" i="43"/>
  <c r="AV158" i="43"/>
  <c r="BD154" i="43"/>
  <c r="AZ154" i="43"/>
  <c r="BD152" i="43"/>
  <c r="BC150" i="43"/>
  <c r="AY150" i="43"/>
  <c r="BA148" i="43"/>
  <c r="BK176" i="43"/>
  <c r="BK44" i="43" s="1"/>
  <c r="BL156" i="43"/>
  <c r="BQ180" i="43"/>
  <c r="BQ177" i="43"/>
  <c r="BQ174" i="43"/>
  <c r="BQ171" i="43"/>
  <c r="BQ168" i="43"/>
  <c r="BQ162" i="43"/>
  <c r="BM158" i="43"/>
  <c r="AW179" i="43"/>
  <c r="AW173" i="43"/>
  <c r="AW167" i="43"/>
  <c r="BA180" i="43"/>
  <c r="AV180" i="43"/>
  <c r="BA179" i="43"/>
  <c r="AV179" i="43"/>
  <c r="BA177" i="43"/>
  <c r="AV177" i="43"/>
  <c r="BA176" i="43"/>
  <c r="AV176" i="43"/>
  <c r="AV44" i="43" s="1"/>
  <c r="BA174" i="43"/>
  <c r="AV174" i="43"/>
  <c r="BA173" i="43"/>
  <c r="AV173" i="43"/>
  <c r="BA171" i="43"/>
  <c r="AV171" i="43"/>
  <c r="BA170" i="43"/>
  <c r="BA38" i="43" s="1"/>
  <c r="AV170" i="43"/>
  <c r="AV38" i="43" s="1"/>
  <c r="BA168" i="43"/>
  <c r="BA183" i="43" s="1"/>
  <c r="AV168" i="43"/>
  <c r="AV183" i="43" s="1"/>
  <c r="BA167" i="43"/>
  <c r="BA182" i="43" s="1"/>
  <c r="AV167" i="43"/>
  <c r="AV182" i="43" s="1"/>
  <c r="AW150" i="43"/>
  <c r="AV160" i="43"/>
  <c r="AV156" i="43"/>
  <c r="AV152" i="43"/>
  <c r="AV148" i="43"/>
  <c r="BA162" i="43"/>
  <c r="AV162" i="43"/>
  <c r="BD158" i="43"/>
  <c r="AZ158" i="43"/>
  <c r="BD156" i="43"/>
  <c r="BC154" i="43"/>
  <c r="AY154" i="43"/>
  <c r="BA152" i="43"/>
  <c r="BB150" i="43"/>
  <c r="AX150" i="43"/>
  <c r="AZ148" i="43"/>
  <c r="BK170" i="43"/>
  <c r="BL152" i="43"/>
  <c r="BM180" i="43"/>
  <c r="BM177" i="43"/>
  <c r="BM174" i="43"/>
  <c r="BM171" i="43"/>
  <c r="BM168" i="43"/>
  <c r="BM162" i="43"/>
  <c r="BO156" i="43"/>
  <c r="BQ150" i="43"/>
  <c r="BD180" i="43"/>
  <c r="AZ180" i="43"/>
  <c r="BD179" i="43"/>
  <c r="AZ179" i="43"/>
  <c r="BD177" i="43"/>
  <c r="AZ177" i="43"/>
  <c r="BD176" i="43"/>
  <c r="AZ176" i="43"/>
  <c r="BD174" i="43"/>
  <c r="AZ174" i="43"/>
  <c r="BD173" i="43"/>
  <c r="AZ173" i="43"/>
  <c r="BD171" i="43"/>
  <c r="AZ171" i="43"/>
  <c r="BD170" i="43"/>
  <c r="BD38" i="43" s="1"/>
  <c r="AZ170" i="43"/>
  <c r="AZ38" i="43" s="1"/>
  <c r="BD168" i="43"/>
  <c r="AZ168" i="43"/>
  <c r="AZ183" i="43" s="1"/>
  <c r="BD167" i="43"/>
  <c r="AZ167" i="43"/>
  <c r="AZ182" i="43" s="1"/>
  <c r="AW162" i="43"/>
  <c r="AY160" i="43"/>
  <c r="AY156" i="43"/>
  <c r="AY152" i="43"/>
  <c r="AW148" i="43"/>
  <c r="BD162" i="43"/>
  <c r="AZ162" i="43"/>
  <c r="BD160" i="43"/>
  <c r="BC158" i="43"/>
  <c r="AY158" i="43"/>
  <c r="BA156" i="43"/>
  <c r="BB154" i="43"/>
  <c r="AX154" i="43"/>
  <c r="AZ152" i="43"/>
  <c r="BA150" i="43"/>
  <c r="AV150" i="43"/>
  <c r="BL148" i="43"/>
  <c r="BQ173" i="43"/>
  <c r="BQ154" i="43"/>
  <c r="AW176" i="43"/>
  <c r="AW44" i="43" s="1"/>
  <c r="BC179" i="43"/>
  <c r="BC176" i="43"/>
  <c r="BC173" i="43"/>
  <c r="BC170" i="43"/>
  <c r="BC38" i="43" s="1"/>
  <c r="BC167" i="43"/>
  <c r="AX156" i="43"/>
  <c r="AY162" i="43"/>
  <c r="AZ156" i="43"/>
  <c r="AZ150" i="43"/>
  <c r="AH176" i="43"/>
  <c r="AH170" i="43"/>
  <c r="AH158" i="43"/>
  <c r="AI160" i="43"/>
  <c r="AI156" i="43"/>
  <c r="AI152" i="43"/>
  <c r="AI148" i="43"/>
  <c r="AO180" i="43"/>
  <c r="AK180" i="43"/>
  <c r="AO179" i="43"/>
  <c r="AK179" i="43"/>
  <c r="AO177" i="43"/>
  <c r="AK177" i="43"/>
  <c r="AO176" i="43"/>
  <c r="AK176" i="43"/>
  <c r="AO174" i="43"/>
  <c r="AK174" i="43"/>
  <c r="AO173" i="43"/>
  <c r="AK173" i="43"/>
  <c r="AO171" i="43"/>
  <c r="AK171" i="43"/>
  <c r="AO170" i="43"/>
  <c r="AK170" i="43"/>
  <c r="AO168" i="43"/>
  <c r="AK168" i="43"/>
  <c r="AK183" i="43" s="1"/>
  <c r="AO167" i="43"/>
  <c r="AK167" i="43"/>
  <c r="AK182" i="43" s="1"/>
  <c r="AO162" i="43"/>
  <c r="AK162" i="43"/>
  <c r="AO160" i="43"/>
  <c r="AN158" i="43"/>
  <c r="AJ158" i="43"/>
  <c r="AL156" i="43"/>
  <c r="AM154" i="43"/>
  <c r="AI154" i="43"/>
  <c r="AK152" i="43"/>
  <c r="AL150" i="43"/>
  <c r="AG150" i="43"/>
  <c r="T176" i="43"/>
  <c r="T162" i="43"/>
  <c r="V160" i="43"/>
  <c r="V156" i="43"/>
  <c r="V152" i="43"/>
  <c r="T148" i="43"/>
  <c r="AY174" i="43"/>
  <c r="BQ170" i="43"/>
  <c r="BM150" i="43"/>
  <c r="AW170" i="43"/>
  <c r="AW38" i="43" s="1"/>
  <c r="AY179" i="43"/>
  <c r="AY176" i="43"/>
  <c r="AY44" i="43" s="1"/>
  <c r="AY173" i="43"/>
  <c r="AY170" i="43"/>
  <c r="AY38" i="43" s="1"/>
  <c r="AY167" i="43"/>
  <c r="AX152" i="43"/>
  <c r="BA160" i="43"/>
  <c r="BA154" i="43"/>
  <c r="BD148" i="43"/>
  <c r="AH150" i="43"/>
  <c r="AH160" i="43"/>
  <c r="AH156" i="43"/>
  <c r="AH152" i="43"/>
  <c r="AJ148" i="43"/>
  <c r="AN180" i="43"/>
  <c r="AJ180" i="43"/>
  <c r="AN179" i="43"/>
  <c r="AJ179" i="43"/>
  <c r="AN177" i="43"/>
  <c r="AJ177" i="43"/>
  <c r="AN176" i="43"/>
  <c r="AJ176" i="43"/>
  <c r="AN174" i="43"/>
  <c r="AJ174" i="43"/>
  <c r="AN173" i="43"/>
  <c r="AJ173" i="43"/>
  <c r="AN171" i="43"/>
  <c r="AJ171" i="43"/>
  <c r="AN170" i="43"/>
  <c r="AJ170" i="43"/>
  <c r="AN168" i="43"/>
  <c r="AJ168" i="43"/>
  <c r="AJ183" i="43" s="1"/>
  <c r="AN167" i="43"/>
  <c r="AJ167" i="43"/>
  <c r="AJ182" i="43" s="1"/>
  <c r="AN162" i="43"/>
  <c r="AJ162" i="43"/>
  <c r="AL160" i="43"/>
  <c r="AM158" i="43"/>
  <c r="AI158" i="43"/>
  <c r="AK156" i="43"/>
  <c r="AL154" i="43"/>
  <c r="AG154" i="43"/>
  <c r="AO150" i="43"/>
  <c r="AK150" i="43"/>
  <c r="AO148" i="43"/>
  <c r="T173" i="43"/>
  <c r="T158" i="43"/>
  <c r="U160" i="43"/>
  <c r="U156" i="43"/>
  <c r="U152" i="43"/>
  <c r="U148" i="43"/>
  <c r="AY180" i="43"/>
  <c r="AY171" i="43"/>
  <c r="BC162" i="43"/>
  <c r="AX158" i="43"/>
  <c r="AJ160" i="43"/>
  <c r="AJ152" i="43"/>
  <c r="AG180" i="43"/>
  <c r="AL177" i="43"/>
  <c r="AL176" i="43"/>
  <c r="AG174" i="43"/>
  <c r="AG173" i="43"/>
  <c r="AG171" i="43"/>
  <c r="AG170" i="43"/>
  <c r="AL167" i="43"/>
  <c r="AL162" i="43"/>
  <c r="AO158" i="43"/>
  <c r="AO156" i="43"/>
  <c r="AJ154" i="43"/>
  <c r="AM150" i="43"/>
  <c r="AK148" i="43"/>
  <c r="T179" i="43"/>
  <c r="T167" i="43"/>
  <c r="T150" i="43"/>
  <c r="S160" i="43"/>
  <c r="S156" i="43"/>
  <c r="S152" i="43"/>
  <c r="S148" i="43"/>
  <c r="BQ179" i="43"/>
  <c r="BQ167" i="43"/>
  <c r="BQ35" i="43" s="1"/>
  <c r="BC180" i="43"/>
  <c r="BC177" i="43"/>
  <c r="BC174" i="43"/>
  <c r="BC171" i="43"/>
  <c r="BC168" i="43"/>
  <c r="AW158" i="43"/>
  <c r="AX148" i="43"/>
  <c r="BB158" i="43"/>
  <c r="AV154" i="43"/>
  <c r="AH179" i="43"/>
  <c r="AH173" i="43"/>
  <c r="AH167" i="43"/>
  <c r="AH154" i="43"/>
  <c r="AG160" i="43"/>
  <c r="AG156" i="43"/>
  <c r="AG152" i="43"/>
  <c r="AG148" i="43"/>
  <c r="AM180" i="43"/>
  <c r="AI180" i="43"/>
  <c r="AM179" i="43"/>
  <c r="AI179" i="43"/>
  <c r="AM177" i="43"/>
  <c r="AI177" i="43"/>
  <c r="AM176" i="43"/>
  <c r="AM44" i="43" s="1"/>
  <c r="AI176" i="43"/>
  <c r="AM174" i="43"/>
  <c r="AI174" i="43"/>
  <c r="AM173" i="43"/>
  <c r="AM41" i="43" s="1"/>
  <c r="AI173" i="43"/>
  <c r="AM171" i="43"/>
  <c r="AI171" i="43"/>
  <c r="AM170" i="43"/>
  <c r="AI170" i="43"/>
  <c r="AM168" i="43"/>
  <c r="AM183" i="43" s="1"/>
  <c r="AI168" i="43"/>
  <c r="AI183" i="43" s="1"/>
  <c r="AM167" i="43"/>
  <c r="AI167" i="43"/>
  <c r="AI182" i="43" s="1"/>
  <c r="AM162" i="43"/>
  <c r="AI162" i="43"/>
  <c r="AK160" i="43"/>
  <c r="AL158" i="43"/>
  <c r="AG158" i="43"/>
  <c r="AO154" i="43"/>
  <c r="AK154" i="43"/>
  <c r="AO152" i="43"/>
  <c r="AN150" i="43"/>
  <c r="AJ150" i="43"/>
  <c r="AL148" i="43"/>
  <c r="T170" i="43"/>
  <c r="T154" i="43"/>
  <c r="T160" i="43"/>
  <c r="T156" i="43"/>
  <c r="T152" i="43"/>
  <c r="V148" i="43"/>
  <c r="BK162" i="43"/>
  <c r="BK25" i="43" s="1"/>
  <c r="BQ176" i="43"/>
  <c r="AY177" i="43"/>
  <c r="AY168" i="43"/>
  <c r="AX160" i="43"/>
  <c r="BD150" i="43"/>
  <c r="AH162" i="43"/>
  <c r="AJ156" i="43"/>
  <c r="AH148" i="43"/>
  <c r="AL180" i="43"/>
  <c r="AL179" i="43"/>
  <c r="AG179" i="43"/>
  <c r="AG177" i="43"/>
  <c r="AG176" i="43"/>
  <c r="AL174" i="43"/>
  <c r="AL173" i="43"/>
  <c r="AL171" i="43"/>
  <c r="AL170" i="43"/>
  <c r="AL168" i="43"/>
  <c r="AG168" i="43"/>
  <c r="AG167" i="43"/>
  <c r="AG162" i="43"/>
  <c r="AK158" i="43"/>
  <c r="AN154" i="43"/>
  <c r="AL152" i="43"/>
  <c r="AI150" i="43"/>
  <c r="BK263" i="43"/>
  <c r="BK68" i="43" s="1"/>
  <c r="BK260" i="43"/>
  <c r="BM257" i="43"/>
  <c r="BK250" i="43"/>
  <c r="BJ246" i="43"/>
  <c r="BJ263" i="43"/>
  <c r="BJ68" i="43" s="1"/>
  <c r="BJ260" i="43"/>
  <c r="BJ257" i="43"/>
  <c r="BJ250" i="43"/>
  <c r="BK246" i="43"/>
  <c r="BM263" i="43"/>
  <c r="BM68" i="43" s="1"/>
  <c r="BM260" i="43"/>
  <c r="BK257" i="43"/>
  <c r="BM250" i="43"/>
  <c r="BL246" i="43"/>
  <c r="BL250" i="43"/>
  <c r="BP264" i="43"/>
  <c r="BP69" i="43" s="1"/>
  <c r="BL264" i="43"/>
  <c r="BL69" i="43" s="1"/>
  <c r="BO263" i="43"/>
  <c r="BO68" i="43" s="1"/>
  <c r="BQ261" i="43"/>
  <c r="BM261" i="43"/>
  <c r="BQ260" i="43"/>
  <c r="BO258" i="43"/>
  <c r="BK258" i="43"/>
  <c r="BN257" i="43"/>
  <c r="BO252" i="43"/>
  <c r="BK252" i="43"/>
  <c r="BN250" i="43"/>
  <c r="BP248" i="43"/>
  <c r="BL248" i="43"/>
  <c r="BL263" i="43"/>
  <c r="BL68" i="43" s="1"/>
  <c r="BO264" i="43"/>
  <c r="BO69" i="43" s="1"/>
  <c r="BK264" i="43"/>
  <c r="BK69" i="43" s="1"/>
  <c r="BN263" i="43"/>
  <c r="BN68" i="43" s="1"/>
  <c r="BP261" i="43"/>
  <c r="BL261" i="43"/>
  <c r="BR258" i="43"/>
  <c r="BN258" i="43"/>
  <c r="BJ258" i="43"/>
  <c r="BR252" i="43"/>
  <c r="BN252" i="43"/>
  <c r="BJ252" i="43"/>
  <c r="BO248" i="43"/>
  <c r="BK248" i="43"/>
  <c r="BO246" i="43"/>
  <c r="BL260" i="43"/>
  <c r="BM246" i="43"/>
  <c r="BR264" i="43"/>
  <c r="BR69" i="43" s="1"/>
  <c r="BN264" i="43"/>
  <c r="BN69" i="43" s="1"/>
  <c r="BJ264" i="43"/>
  <c r="BJ69" i="43" s="1"/>
  <c r="BO261" i="43"/>
  <c r="BK261" i="43"/>
  <c r="BO260" i="43"/>
  <c r="BQ258" i="43"/>
  <c r="BM258" i="43"/>
  <c r="BQ257" i="43"/>
  <c r="BQ252" i="43"/>
  <c r="BM252" i="43"/>
  <c r="BQ250" i="43"/>
  <c r="BR248" i="43"/>
  <c r="BR255" i="43" s="1"/>
  <c r="BN248" i="43"/>
  <c r="BN255" i="43" s="1"/>
  <c r="BJ248" i="43"/>
  <c r="BJ255" i="43" s="1"/>
  <c r="BN246" i="43"/>
  <c r="BR261" i="43"/>
  <c r="BP258" i="43"/>
  <c r="BL252" i="43"/>
  <c r="BQ246" i="43"/>
  <c r="BQ254" i="43" s="1"/>
  <c r="AV263" i="43"/>
  <c r="AV68" i="43" s="1"/>
  <c r="AV260" i="43"/>
  <c r="AV257" i="43"/>
  <c r="AV250" i="43"/>
  <c r="AV246" i="43"/>
  <c r="BA264" i="43"/>
  <c r="BA69" i="43" s="1"/>
  <c r="AW264" i="43"/>
  <c r="AW69" i="43" s="1"/>
  <c r="AZ263" i="43"/>
  <c r="AZ68" i="43" s="1"/>
  <c r="BB261" i="43"/>
  <c r="AX261" i="43"/>
  <c r="BA260" i="43"/>
  <c r="BB258" i="43"/>
  <c r="AX258" i="43"/>
  <c r="BA257" i="43"/>
  <c r="BC252" i="43"/>
  <c r="AY252" i="43"/>
  <c r="BC250" i="43"/>
  <c r="BD248" i="43"/>
  <c r="AZ248" i="43"/>
  <c r="AV248" i="43"/>
  <c r="AH263" i="43"/>
  <c r="AH68" i="43" s="1"/>
  <c r="AH260" i="43"/>
  <c r="AJ257" i="43"/>
  <c r="AH250" i="43"/>
  <c r="AJ246" i="43"/>
  <c r="BL257" i="43"/>
  <c r="BL50" i="43" s="1"/>
  <c r="BQ264" i="43"/>
  <c r="BQ69" i="43" s="1"/>
  <c r="BN261" i="43"/>
  <c r="BL258" i="43"/>
  <c r="BO250" i="43"/>
  <c r="AY263" i="43"/>
  <c r="AY260" i="43"/>
  <c r="AW257" i="43"/>
  <c r="AY250" i="43"/>
  <c r="AW246" i="43"/>
  <c r="BD264" i="43"/>
  <c r="BD69" i="43" s="1"/>
  <c r="AZ264" i="43"/>
  <c r="AZ69" i="43" s="1"/>
  <c r="AV264" i="43"/>
  <c r="AV69" i="43" s="1"/>
  <c r="BA261" i="43"/>
  <c r="AW261" i="43"/>
  <c r="AZ260" i="43"/>
  <c r="BA258" i="43"/>
  <c r="AW258" i="43"/>
  <c r="AZ257" i="43"/>
  <c r="BB252" i="43"/>
  <c r="AX252" i="43"/>
  <c r="BA250" i="43"/>
  <c r="BC248" i="43"/>
  <c r="AY248" i="43"/>
  <c r="BC246" i="43"/>
  <c r="AG263" i="43"/>
  <c r="AG68" i="43" s="1"/>
  <c r="AG260" i="43"/>
  <c r="AG257" i="43"/>
  <c r="AG250" i="43"/>
  <c r="AG246" i="43"/>
  <c r="BM264" i="43"/>
  <c r="BM69" i="43" s="1"/>
  <c r="BJ261" i="43"/>
  <c r="BO257" i="43"/>
  <c r="BQ248" i="43"/>
  <c r="AX263" i="43"/>
  <c r="AX68" i="43" s="1"/>
  <c r="AX260" i="43"/>
  <c r="AX257" i="43"/>
  <c r="AX250" i="43"/>
  <c r="AX246" i="43"/>
  <c r="BC264" i="43"/>
  <c r="BC69" i="43" s="1"/>
  <c r="AY264" i="43"/>
  <c r="AY69" i="43" s="1"/>
  <c r="BC263" i="43"/>
  <c r="BC68" i="43" s="1"/>
  <c r="BD261" i="43"/>
  <c r="AZ261" i="43"/>
  <c r="AV261" i="43"/>
  <c r="BD258" i="43"/>
  <c r="AZ258" i="43"/>
  <c r="AV258" i="43"/>
  <c r="BA252" i="43"/>
  <c r="AW252" i="43"/>
  <c r="AZ250" i="43"/>
  <c r="BB248" i="43"/>
  <c r="BB255" i="43" s="1"/>
  <c r="AX248" i="43"/>
  <c r="AX255" i="43" s="1"/>
  <c r="BA246" i="43"/>
  <c r="BA254" i="43" s="1"/>
  <c r="AJ263" i="43"/>
  <c r="AJ68" i="43" s="1"/>
  <c r="AJ260" i="43"/>
  <c r="AH257" i="43"/>
  <c r="AJ250" i="43"/>
  <c r="AH246" i="43"/>
  <c r="AH254" i="43" s="1"/>
  <c r="BN260" i="43"/>
  <c r="AW250" i="43"/>
  <c r="BA263" i="43"/>
  <c r="BA68" i="43" s="1"/>
  <c r="BC258" i="43"/>
  <c r="AZ252" i="43"/>
  <c r="AW248" i="43"/>
  <c r="AI260" i="43"/>
  <c r="AN264" i="43"/>
  <c r="AN69" i="43" s="1"/>
  <c r="AJ264" i="43"/>
  <c r="AJ69" i="43" s="1"/>
  <c r="AN263" i="43"/>
  <c r="AN68" i="43" s="1"/>
  <c r="AN261" i="43"/>
  <c r="AJ261" i="43"/>
  <c r="AN260" i="43"/>
  <c r="AO258" i="43"/>
  <c r="AK258" i="43"/>
  <c r="AG258" i="43"/>
  <c r="AO252" i="43"/>
  <c r="AK252" i="43"/>
  <c r="AG252" i="43"/>
  <c r="AO248" i="43"/>
  <c r="AK248" i="43"/>
  <c r="AG248" i="43"/>
  <c r="U263" i="43"/>
  <c r="U68" i="43" s="1"/>
  <c r="U260" i="43"/>
  <c r="U257" i="43"/>
  <c r="U250" i="43"/>
  <c r="U246" i="43"/>
  <c r="BQ263" i="43"/>
  <c r="BQ68" i="43" s="1"/>
  <c r="BC260" i="43"/>
  <c r="BA248" i="43"/>
  <c r="BA255" i="43" s="1"/>
  <c r="BP252" i="43"/>
  <c r="AW263" i="43"/>
  <c r="AW68" i="43" s="1"/>
  <c r="AY246" i="43"/>
  <c r="BC261" i="43"/>
  <c r="AY258" i="43"/>
  <c r="AV252" i="43"/>
  <c r="AZ246" i="43"/>
  <c r="AI257" i="43"/>
  <c r="AM264" i="43"/>
  <c r="AM69" i="43" s="1"/>
  <c r="AI264" i="43"/>
  <c r="AI69" i="43" s="1"/>
  <c r="AL263" i="43"/>
  <c r="AL68" i="43" s="1"/>
  <c r="AM261" i="43"/>
  <c r="AI261" i="43"/>
  <c r="AL260" i="43"/>
  <c r="AN258" i="43"/>
  <c r="AJ258" i="43"/>
  <c r="AN257" i="43"/>
  <c r="AN252" i="43"/>
  <c r="AJ252" i="43"/>
  <c r="AN248" i="43"/>
  <c r="AJ248" i="43"/>
  <c r="AN246" i="43"/>
  <c r="T263" i="43"/>
  <c r="T68" i="43" s="1"/>
  <c r="T260" i="43"/>
  <c r="V257" i="43"/>
  <c r="T250" i="43"/>
  <c r="V246" i="43"/>
  <c r="AX264" i="43"/>
  <c r="AX69" i="43" s="1"/>
  <c r="AI263" i="43"/>
  <c r="AI68" i="43" s="1"/>
  <c r="AO264" i="43"/>
  <c r="AO69" i="43" s="1"/>
  <c r="AG264" i="43"/>
  <c r="AG69" i="43" s="1"/>
  <c r="AK261" i="43"/>
  <c r="AL258" i="43"/>
  <c r="AK257" i="43"/>
  <c r="AH252" i="43"/>
  <c r="AH248" i="43"/>
  <c r="V260" i="43"/>
  <c r="V250" i="43"/>
  <c r="BM248" i="43"/>
  <c r="AW260" i="43"/>
  <c r="BB264" i="43"/>
  <c r="BB69" i="43" s="1"/>
  <c r="AY261" i="43"/>
  <c r="BC257" i="43"/>
  <c r="AI250" i="43"/>
  <c r="AL264" i="43"/>
  <c r="AL69" i="43" s="1"/>
  <c r="AH264" i="43"/>
  <c r="AH69" i="43" s="1"/>
  <c r="AK263" i="43"/>
  <c r="AK68" i="43" s="1"/>
  <c r="AL261" i="43"/>
  <c r="AH261" i="43"/>
  <c r="AK260" i="43"/>
  <c r="AM258" i="43"/>
  <c r="AI258" i="43"/>
  <c r="AL257" i="43"/>
  <c r="AM252" i="43"/>
  <c r="AI252" i="43"/>
  <c r="AL250" i="43"/>
  <c r="AM248" i="43"/>
  <c r="AI248" i="43"/>
  <c r="AL246" i="43"/>
  <c r="S260" i="43"/>
  <c r="S257" i="43"/>
  <c r="S250" i="43"/>
  <c r="S246" i="43"/>
  <c r="AY257" i="43"/>
  <c r="BD252" i="43"/>
  <c r="AI246" i="43"/>
  <c r="AK264" i="43"/>
  <c r="AK69" i="43" s="1"/>
  <c r="AO261" i="43"/>
  <c r="AG261" i="43"/>
  <c r="AH258" i="43"/>
  <c r="AL252" i="43"/>
  <c r="AK250" i="43"/>
  <c r="AL248" i="43"/>
  <c r="AK246" i="43"/>
  <c r="V263" i="43"/>
  <c r="T257" i="43"/>
  <c r="T246" i="43"/>
  <c r="AN315" i="43"/>
  <c r="AN319" i="43"/>
  <c r="AJ319" i="43"/>
  <c r="AH315" i="43"/>
  <c r="AJ317" i="43"/>
  <c r="AH313" i="43"/>
  <c r="AI350" i="43"/>
  <c r="AI319" i="43"/>
  <c r="AI315" i="43"/>
  <c r="AI317" i="43"/>
  <c r="AI313" i="43"/>
  <c r="AN349" i="43"/>
  <c r="AM319" i="43"/>
  <c r="AH319" i="43"/>
  <c r="AJ315" i="43"/>
  <c r="AH317" i="43"/>
  <c r="AJ313" i="43"/>
  <c r="AG315" i="43"/>
  <c r="U319" i="43"/>
  <c r="U315" i="43"/>
  <c r="U317" i="43"/>
  <c r="U313" i="43"/>
  <c r="AG317" i="43"/>
  <c r="X319" i="43"/>
  <c r="X322" i="43" s="1"/>
  <c r="T319" i="43"/>
  <c r="V315" i="43"/>
  <c r="T317" i="43"/>
  <c r="V313" i="43"/>
  <c r="AM315" i="43"/>
  <c r="AG313" i="43"/>
  <c r="X350" i="43"/>
  <c r="X317" i="43"/>
  <c r="S319" i="43"/>
  <c r="S315" i="43"/>
  <c r="S317" i="43"/>
  <c r="S313" i="43"/>
  <c r="AG319" i="43"/>
  <c r="V317" i="43"/>
  <c r="T313" i="43"/>
  <c r="V319" i="43"/>
  <c r="T315" i="43"/>
  <c r="U349" i="43"/>
  <c r="AK315" i="43"/>
  <c r="AK319" i="43"/>
  <c r="AO315" i="43"/>
  <c r="AO319" i="43"/>
  <c r="AH365" i="43"/>
  <c r="AG365" i="43"/>
  <c r="AO331" i="43"/>
  <c r="AO328" i="43"/>
  <c r="AO356" i="43"/>
  <c r="AJ305" i="43"/>
  <c r="AJ71" i="43" s="1"/>
  <c r="AJ302" i="43"/>
  <c r="AJ59" i="43" s="1"/>
  <c r="AJ299" i="43"/>
  <c r="AH296" i="43"/>
  <c r="AJ293" i="43"/>
  <c r="AH290" i="43"/>
  <c r="AN273" i="43"/>
  <c r="AN281" i="43"/>
  <c r="AI285" i="43"/>
  <c r="AI281" i="43"/>
  <c r="AI25" i="43" s="1"/>
  <c r="AI277" i="43"/>
  <c r="AI273" i="43"/>
  <c r="AI283" i="43"/>
  <c r="AI279" i="43"/>
  <c r="AI275" i="43"/>
  <c r="AI271" i="43"/>
  <c r="AO334" i="43"/>
  <c r="AI305" i="43"/>
  <c r="AI71" i="43" s="1"/>
  <c r="AI302" i="43"/>
  <c r="AI59" i="43" s="1"/>
  <c r="AI299" i="43"/>
  <c r="AI296" i="43"/>
  <c r="AI293" i="43"/>
  <c r="AI290" i="43"/>
  <c r="AM273" i="43"/>
  <c r="AM281" i="43"/>
  <c r="AH285" i="43"/>
  <c r="AH281" i="43"/>
  <c r="AH277" i="43"/>
  <c r="AJ273" i="43"/>
  <c r="AH283" i="43"/>
  <c r="AH279" i="43"/>
  <c r="AH275" i="43"/>
  <c r="AJ271" i="43"/>
  <c r="AO362" i="43"/>
  <c r="AG337" i="43"/>
  <c r="AH305" i="43"/>
  <c r="AH71" i="43" s="1"/>
  <c r="AH302" i="43"/>
  <c r="AH59" i="43" s="1"/>
  <c r="AH299" i="43"/>
  <c r="AJ296" i="43"/>
  <c r="AH293" i="43"/>
  <c r="AJ290" i="43"/>
  <c r="AN285" i="43"/>
  <c r="AM277" i="43"/>
  <c r="AG285" i="43"/>
  <c r="AG281" i="43"/>
  <c r="AG277" i="43"/>
  <c r="AG273" i="43"/>
  <c r="AG283" i="43"/>
  <c r="AG279" i="43"/>
  <c r="AG275" i="43"/>
  <c r="AG271" i="43"/>
  <c r="AG305" i="43"/>
  <c r="AG71" i="43" s="1"/>
  <c r="AG299" i="43"/>
  <c r="AG290" i="43"/>
  <c r="AJ277" i="43"/>
  <c r="AJ17" i="43" s="1"/>
  <c r="AJ275" i="43"/>
  <c r="X285" i="43"/>
  <c r="X302" i="43"/>
  <c r="S302" i="43"/>
  <c r="U299" i="43"/>
  <c r="U296" i="43"/>
  <c r="T293" i="43"/>
  <c r="V290" i="43"/>
  <c r="T285" i="43"/>
  <c r="T281" i="43"/>
  <c r="T277" i="43"/>
  <c r="V273" i="43"/>
  <c r="T283" i="43"/>
  <c r="T279" i="43"/>
  <c r="T275" i="43"/>
  <c r="V271" i="43"/>
  <c r="AO359" i="43"/>
  <c r="AM285" i="43"/>
  <c r="AH273" i="43"/>
  <c r="AH271" i="43"/>
  <c r="X283" i="43"/>
  <c r="W364" i="43"/>
  <c r="W336" i="43"/>
  <c r="V305" i="43"/>
  <c r="V299" i="43"/>
  <c r="S299" i="43"/>
  <c r="S293" i="43"/>
  <c r="S290" i="43"/>
  <c r="S285" i="43"/>
  <c r="S281" i="43"/>
  <c r="S277" i="43"/>
  <c r="S273" i="43"/>
  <c r="S283" i="43"/>
  <c r="S279" i="43"/>
  <c r="S275" i="43"/>
  <c r="S271" i="43"/>
  <c r="AG302" i="43"/>
  <c r="AG59" i="43" s="1"/>
  <c r="AG296" i="43"/>
  <c r="AJ285" i="43"/>
  <c r="AJ283" i="43"/>
  <c r="V336" i="43"/>
  <c r="U305" i="43"/>
  <c r="V302" i="43"/>
  <c r="X296" i="43"/>
  <c r="V293" i="43"/>
  <c r="T290" i="43"/>
  <c r="V285" i="43"/>
  <c r="V281" i="43"/>
  <c r="V277" i="43"/>
  <c r="T273" i="43"/>
  <c r="V283" i="43"/>
  <c r="V279" i="43"/>
  <c r="V275" i="43"/>
  <c r="T271" i="43"/>
  <c r="AJ281" i="43"/>
  <c r="U302" i="43"/>
  <c r="U290" i="43"/>
  <c r="U273" i="43"/>
  <c r="U271" i="43"/>
  <c r="AJ279" i="43"/>
  <c r="X299" i="43"/>
  <c r="U285" i="43"/>
  <c r="U283" i="43"/>
  <c r="X305" i="43"/>
  <c r="V296" i="43"/>
  <c r="U281" i="43"/>
  <c r="U279" i="43"/>
  <c r="AG293" i="43"/>
  <c r="U275" i="43"/>
  <c r="S305" i="43"/>
  <c r="U293" i="43"/>
  <c r="U277" i="43"/>
  <c r="AK277" i="43"/>
  <c r="AO285" i="43"/>
  <c r="AL273" i="43"/>
  <c r="AN277" i="43"/>
  <c r="AO281" i="43"/>
  <c r="AO25" i="43" s="1"/>
  <c r="AL285" i="43"/>
  <c r="AK273" i="43"/>
  <c r="AO277" i="43"/>
  <c r="AL281" i="43"/>
  <c r="AK285" i="43"/>
  <c r="AL277" i="43"/>
  <c r="AK281" i="43"/>
  <c r="AO273" i="43"/>
  <c r="BJ238" i="43"/>
  <c r="BJ65" i="43" s="1"/>
  <c r="BJ235" i="43"/>
  <c r="BJ56" i="43" s="1"/>
  <c r="BK238" i="43"/>
  <c r="BK65" i="43" s="1"/>
  <c r="BK235" i="43"/>
  <c r="BK56" i="43" s="1"/>
  <c r="BK217" i="43"/>
  <c r="BL238" i="43"/>
  <c r="BL65" i="43" s="1"/>
  <c r="BL235" i="43"/>
  <c r="BL56" i="43" s="1"/>
  <c r="BL217" i="43"/>
  <c r="BL38" i="43" s="1"/>
  <c r="BM235" i="43"/>
  <c r="BM56" i="43" s="1"/>
  <c r="BO239" i="43"/>
  <c r="BO66" i="43" s="1"/>
  <c r="BK239" i="43"/>
  <c r="BK66" i="43" s="1"/>
  <c r="BN238" i="43"/>
  <c r="BN65" i="43" s="1"/>
  <c r="BP236" i="43"/>
  <c r="BP57" i="43" s="1"/>
  <c r="BL236" i="43"/>
  <c r="BL57" i="43" s="1"/>
  <c r="BP233" i="43"/>
  <c r="BL233" i="43"/>
  <c r="BN232" i="43"/>
  <c r="BO230" i="43"/>
  <c r="BK230" i="43"/>
  <c r="BR227" i="43"/>
  <c r="BN227" i="43"/>
  <c r="BJ227" i="43"/>
  <c r="BO224" i="43"/>
  <c r="BK224" i="43"/>
  <c r="BK45" i="43" s="1"/>
  <c r="BN223" i="43"/>
  <c r="BO221" i="43"/>
  <c r="BK221" i="43"/>
  <c r="BK42" i="43" s="1"/>
  <c r="BN220" i="43"/>
  <c r="BP218" i="43"/>
  <c r="BL218" i="43"/>
  <c r="BO215" i="43"/>
  <c r="BK215" i="43"/>
  <c r="BK36" i="43" s="1"/>
  <c r="BR239" i="43"/>
  <c r="BR66" i="43" s="1"/>
  <c r="BN239" i="43"/>
  <c r="BN66" i="43" s="1"/>
  <c r="BJ239" i="43"/>
  <c r="BJ66" i="43" s="1"/>
  <c r="BO236" i="43"/>
  <c r="BO57" i="43" s="1"/>
  <c r="BK236" i="43"/>
  <c r="BK57" i="43" s="1"/>
  <c r="BN235" i="43"/>
  <c r="BN56" i="43" s="1"/>
  <c r="BO233" i="43"/>
  <c r="BK233" i="43"/>
  <c r="BK54" i="43" s="1"/>
  <c r="BR230" i="43"/>
  <c r="BN230" i="43"/>
  <c r="BJ230" i="43"/>
  <c r="BQ227" i="43"/>
  <c r="BQ48" i="43" s="1"/>
  <c r="BM227" i="43"/>
  <c r="BQ226" i="43"/>
  <c r="BR224" i="43"/>
  <c r="BN224" i="43"/>
  <c r="BJ224" i="43"/>
  <c r="BR221" i="43"/>
  <c r="BN221" i="43"/>
  <c r="BJ221" i="43"/>
  <c r="BO218" i="43"/>
  <c r="BK218" i="43"/>
  <c r="BK39" i="43" s="1"/>
  <c r="BO217" i="43"/>
  <c r="BR215" i="43"/>
  <c r="BN215" i="43"/>
  <c r="BJ215" i="43"/>
  <c r="BM217" i="43"/>
  <c r="BQ239" i="43"/>
  <c r="BQ66" i="43" s="1"/>
  <c r="BM239" i="43"/>
  <c r="BM66" i="43" s="1"/>
  <c r="BQ238" i="43"/>
  <c r="BQ65" i="43" s="1"/>
  <c r="BR236" i="43"/>
  <c r="BR57" i="43" s="1"/>
  <c r="BN236" i="43"/>
  <c r="BN57" i="43" s="1"/>
  <c r="BJ236" i="43"/>
  <c r="BJ57" i="43" s="1"/>
  <c r="BR233" i="43"/>
  <c r="BN233" i="43"/>
  <c r="BJ233" i="43"/>
  <c r="BJ54" i="43" s="1"/>
  <c r="BQ230" i="43"/>
  <c r="BM230" i="43"/>
  <c r="BQ229" i="43"/>
  <c r="BP227" i="43"/>
  <c r="BL227" i="43"/>
  <c r="BO226" i="43"/>
  <c r="BQ224" i="43"/>
  <c r="BM224" i="43"/>
  <c r="BQ223" i="43"/>
  <c r="BQ221" i="43"/>
  <c r="BM221" i="43"/>
  <c r="BQ220" i="43"/>
  <c r="BR218" i="43"/>
  <c r="BR39" i="43" s="1"/>
  <c r="BN218" i="43"/>
  <c r="BJ218" i="43"/>
  <c r="BN217" i="43"/>
  <c r="BN38" i="43" s="1"/>
  <c r="BQ215" i="43"/>
  <c r="BM215" i="43"/>
  <c r="BO238" i="43"/>
  <c r="BO65" i="43" s="1"/>
  <c r="BQ233" i="43"/>
  <c r="BQ54" i="43" s="1"/>
  <c r="BL230" i="43"/>
  <c r="BN226" i="43"/>
  <c r="BP221" i="43"/>
  <c r="BM218" i="43"/>
  <c r="BM39" i="43" s="1"/>
  <c r="BL215" i="43"/>
  <c r="AY238" i="43"/>
  <c r="BA235" i="43"/>
  <c r="BA56" i="43" s="1"/>
  <c r="AV235" i="43"/>
  <c r="AH238" i="43"/>
  <c r="AH65" i="43" s="1"/>
  <c r="AH235" i="43"/>
  <c r="AH56" i="43" s="1"/>
  <c r="AH232" i="43"/>
  <c r="AH229" i="43"/>
  <c r="AH226" i="43"/>
  <c r="AH223" i="43"/>
  <c r="AH220" i="43"/>
  <c r="AJ214" i="43"/>
  <c r="BQ236" i="43"/>
  <c r="BQ57" i="43" s="1"/>
  <c r="BM233" i="43"/>
  <c r="BN229" i="43"/>
  <c r="BP224" i="43"/>
  <c r="BL221" i="43"/>
  <c r="BQ217" i="43"/>
  <c r="AX238" i="43"/>
  <c r="AG238" i="43"/>
  <c r="AG65" i="43" s="1"/>
  <c r="AG235" i="43"/>
  <c r="AG56" i="43" s="1"/>
  <c r="AG232" i="43"/>
  <c r="AG229" i="43"/>
  <c r="BM238" i="43"/>
  <c r="BM65" i="43" s="1"/>
  <c r="BP239" i="43"/>
  <c r="BP66" i="43" s="1"/>
  <c r="BM236" i="43"/>
  <c r="BM57" i="43" s="1"/>
  <c r="BQ232" i="43"/>
  <c r="BO227" i="43"/>
  <c r="BL224" i="43"/>
  <c r="BO220" i="43"/>
  <c r="AW238" i="43"/>
  <c r="AL227" i="43"/>
  <c r="AJ238" i="43"/>
  <c r="AJ65" i="43" s="1"/>
  <c r="AJ235" i="43"/>
  <c r="AJ56" i="43" s="1"/>
  <c r="AJ232" i="43"/>
  <c r="AJ229" i="43"/>
  <c r="AJ226" i="43"/>
  <c r="AJ223" i="43"/>
  <c r="AJ220" i="43"/>
  <c r="AH214" i="43"/>
  <c r="BQ235" i="43"/>
  <c r="BQ56" i="43" s="1"/>
  <c r="BQ218" i="43"/>
  <c r="AI229" i="43"/>
  <c r="AG223" i="43"/>
  <c r="AG44" i="43" s="1"/>
  <c r="AG214" i="43"/>
  <c r="AO239" i="43"/>
  <c r="AO66" i="43" s="1"/>
  <c r="AK239" i="43"/>
  <c r="AK66" i="43" s="1"/>
  <c r="AG239" i="43"/>
  <c r="AG66" i="43" s="1"/>
  <c r="AO236" i="43"/>
  <c r="AO57" i="43" s="1"/>
  <c r="AK236" i="43"/>
  <c r="AK57" i="43" s="1"/>
  <c r="AG236" i="43"/>
  <c r="AG57" i="43" s="1"/>
  <c r="AN233" i="43"/>
  <c r="AJ233" i="43"/>
  <c r="AN232" i="43"/>
  <c r="AM230" i="43"/>
  <c r="AI230" i="43"/>
  <c r="AK229" i="43"/>
  <c r="AK227" i="43"/>
  <c r="AG227" i="43"/>
  <c r="AO224" i="43"/>
  <c r="AO45" i="43" s="1"/>
  <c r="AK224" i="43"/>
  <c r="AK45" i="43" s="1"/>
  <c r="AG224" i="43"/>
  <c r="AO221" i="43"/>
  <c r="AK221" i="43"/>
  <c r="AG221" i="43"/>
  <c r="AO218" i="43"/>
  <c r="AK218" i="43"/>
  <c r="AG218" i="43"/>
  <c r="AL217" i="43"/>
  <c r="AH217" i="43"/>
  <c r="AM215" i="43"/>
  <c r="AI215" i="43"/>
  <c r="AI36" i="43" s="1"/>
  <c r="AL214" i="43"/>
  <c r="AL35" i="43" s="1"/>
  <c r="X232" i="43"/>
  <c r="T238" i="43"/>
  <c r="T65" i="43" s="1"/>
  <c r="T235" i="43"/>
  <c r="T56" i="43" s="1"/>
  <c r="T232" i="43"/>
  <c r="T229" i="43"/>
  <c r="T226" i="43"/>
  <c r="T223" i="43"/>
  <c r="T220" i="43"/>
  <c r="V214" i="43"/>
  <c r="T209" i="43"/>
  <c r="T33" i="43" s="1"/>
  <c r="T205" i="43"/>
  <c r="T29" i="43" s="1"/>
  <c r="T201" i="43"/>
  <c r="T197" i="43"/>
  <c r="T193" i="43"/>
  <c r="V189" i="43"/>
  <c r="T207" i="43"/>
  <c r="T31" i="43" s="1"/>
  <c r="T203" i="43"/>
  <c r="T27" i="43" s="1"/>
  <c r="T199" i="43"/>
  <c r="T195" i="43"/>
  <c r="T191" i="43"/>
  <c r="V187" i="43"/>
  <c r="BP230" i="43"/>
  <c r="BP215" i="43"/>
  <c r="AI238" i="43"/>
  <c r="AI65" i="43" s="1"/>
  <c r="AI226" i="43"/>
  <c r="AI220" i="43"/>
  <c r="AN239" i="43"/>
  <c r="AN66" i="43" s="1"/>
  <c r="AJ239" i="43"/>
  <c r="AJ66" i="43" s="1"/>
  <c r="AN238" i="43"/>
  <c r="AN65" i="43" s="1"/>
  <c r="AN236" i="43"/>
  <c r="AN57" i="43" s="1"/>
  <c r="AJ236" i="43"/>
  <c r="AJ57" i="43" s="1"/>
  <c r="AN235" i="43"/>
  <c r="AN56" i="43" s="1"/>
  <c r="AM233" i="43"/>
  <c r="AI233" i="43"/>
  <c r="AK232" i="43"/>
  <c r="AL230" i="43"/>
  <c r="AH230" i="43"/>
  <c r="AO227" i="43"/>
  <c r="AJ227" i="43"/>
  <c r="AN226" i="43"/>
  <c r="AN224" i="43"/>
  <c r="AJ224" i="43"/>
  <c r="AN223" i="43"/>
  <c r="AN221" i="43"/>
  <c r="AJ221" i="43"/>
  <c r="AN220" i="43"/>
  <c r="AN218" i="43"/>
  <c r="AJ218" i="43"/>
  <c r="AO217" i="43"/>
  <c r="AK217" i="43"/>
  <c r="AG217" i="43"/>
  <c r="AL215" i="43"/>
  <c r="AL36" i="43" s="1"/>
  <c r="AH215" i="43"/>
  <c r="AH36" i="43" s="1"/>
  <c r="AK214" i="43"/>
  <c r="X229" i="43"/>
  <c r="S238" i="43"/>
  <c r="S65" i="43" s="1"/>
  <c r="S235" i="43"/>
  <c r="S56" i="43" s="1"/>
  <c r="S232" i="43"/>
  <c r="S229" i="43"/>
  <c r="S226" i="43"/>
  <c r="S223" i="43"/>
  <c r="S220" i="43"/>
  <c r="S214" i="43"/>
  <c r="S209" i="43"/>
  <c r="S33" i="43" s="1"/>
  <c r="S205" i="43"/>
  <c r="S29" i="43" s="1"/>
  <c r="S201" i="43"/>
  <c r="S197" i="43"/>
  <c r="S193" i="43"/>
  <c r="S189" i="43"/>
  <c r="S207" i="43"/>
  <c r="S31" i="43" s="1"/>
  <c r="S203" i="43"/>
  <c r="S27" i="43" s="1"/>
  <c r="S199" i="43"/>
  <c r="S195" i="43"/>
  <c r="S191" i="43"/>
  <c r="S187" i="43"/>
  <c r="AI223" i="43"/>
  <c r="AI44" i="43" s="1"/>
  <c r="AL239" i="43"/>
  <c r="AL66" i="43" s="1"/>
  <c r="AL236" i="43"/>
  <c r="AL57" i="43" s="1"/>
  <c r="AO233" i="43"/>
  <c r="AG233" i="43"/>
  <c r="AJ230" i="43"/>
  <c r="AH227" i="43"/>
  <c r="AL224" i="43"/>
  <c r="AL45" i="43" s="1"/>
  <c r="AK223" i="43"/>
  <c r="AK220" i="43"/>
  <c r="AH218" i="43"/>
  <c r="AH39" i="43" s="1"/>
  <c r="AI217" i="43"/>
  <c r="AJ215" i="43"/>
  <c r="X235" i="43"/>
  <c r="X56" i="43" s="1"/>
  <c r="U232" i="43"/>
  <c r="U226" i="43"/>
  <c r="U220" i="43"/>
  <c r="U209" i="43"/>
  <c r="U33" i="43" s="1"/>
  <c r="U201" i="43"/>
  <c r="U193" i="43"/>
  <c r="U207" i="43"/>
  <c r="U31" i="43" s="1"/>
  <c r="U203" i="43"/>
  <c r="U27" i="43" s="1"/>
  <c r="U199" i="43"/>
  <c r="U195" i="43"/>
  <c r="U191" i="43"/>
  <c r="U187" i="43"/>
  <c r="BK227" i="43"/>
  <c r="BK48" i="43" s="1"/>
  <c r="AV238" i="43"/>
  <c r="AV65" i="43" s="1"/>
  <c r="AI235" i="43"/>
  <c r="AI56" i="43" s="1"/>
  <c r="AG226" i="43"/>
  <c r="AG220" i="43"/>
  <c r="AM239" i="43"/>
  <c r="AM66" i="43" s="1"/>
  <c r="AI239" i="43"/>
  <c r="AI66" i="43" s="1"/>
  <c r="AL238" i="43"/>
  <c r="AL65" i="43" s="1"/>
  <c r="AM236" i="43"/>
  <c r="AM57" i="43" s="1"/>
  <c r="AI236" i="43"/>
  <c r="AI57" i="43" s="1"/>
  <c r="AK235" i="43"/>
  <c r="AK56" i="43" s="1"/>
  <c r="AL233" i="43"/>
  <c r="AH233" i="43"/>
  <c r="AO230" i="43"/>
  <c r="AK230" i="43"/>
  <c r="AG230" i="43"/>
  <c r="AN227" i="43"/>
  <c r="AI227" i="43"/>
  <c r="AL226" i="43"/>
  <c r="AM224" i="43"/>
  <c r="AI224" i="43"/>
  <c r="AL223" i="43"/>
  <c r="AL44" i="43" s="1"/>
  <c r="AM221" i="43"/>
  <c r="AI221" i="43"/>
  <c r="AL220" i="43"/>
  <c r="AM218" i="43"/>
  <c r="AI218" i="43"/>
  <c r="AN217" i="43"/>
  <c r="AJ217" i="43"/>
  <c r="AO215" i="43"/>
  <c r="AO36" i="43" s="1"/>
  <c r="AK215" i="43"/>
  <c r="AK36" i="43" s="1"/>
  <c r="AG215" i="43"/>
  <c r="V238" i="43"/>
  <c r="V235" i="43"/>
  <c r="V232" i="43"/>
  <c r="V229" i="43"/>
  <c r="V226" i="43"/>
  <c r="V223" i="43"/>
  <c r="V220" i="43"/>
  <c r="T214" i="43"/>
  <c r="V209" i="43"/>
  <c r="V33" i="43" s="1"/>
  <c r="V205" i="43"/>
  <c r="V29" i="43" s="1"/>
  <c r="V201" i="43"/>
  <c r="V197" i="43"/>
  <c r="V193" i="43"/>
  <c r="T189" i="43"/>
  <c r="V207" i="43"/>
  <c r="V31" i="43" s="1"/>
  <c r="V203" i="43"/>
  <c r="V27" i="43" s="1"/>
  <c r="V199" i="43"/>
  <c r="V195" i="43"/>
  <c r="V191" i="43"/>
  <c r="T187" i="43"/>
  <c r="BL239" i="43"/>
  <c r="BL66" i="43" s="1"/>
  <c r="BO223" i="43"/>
  <c r="BO44" i="43" s="1"/>
  <c r="AI232" i="43"/>
  <c r="AI214" i="43"/>
  <c r="AH239" i="43"/>
  <c r="AH66" i="43" s="1"/>
  <c r="AK238" i="43"/>
  <c r="AK65" i="43" s="1"/>
  <c r="AH236" i="43"/>
  <c r="AH57" i="43" s="1"/>
  <c r="AK233" i="43"/>
  <c r="AN230" i="43"/>
  <c r="AN229" i="43"/>
  <c r="AM227" i="43"/>
  <c r="AK226" i="43"/>
  <c r="AH224" i="43"/>
  <c r="AH45" i="43" s="1"/>
  <c r="AL221" i="43"/>
  <c r="AH221" i="43"/>
  <c r="AL218" i="43"/>
  <c r="AM217" i="43"/>
  <c r="AN215" i="43"/>
  <c r="AN36" i="43" s="1"/>
  <c r="AN214" i="43"/>
  <c r="AN35" i="43" s="1"/>
  <c r="U238" i="43"/>
  <c r="U65" i="43" s="1"/>
  <c r="U235" i="43"/>
  <c r="U56" i="43" s="1"/>
  <c r="U229" i="43"/>
  <c r="U223" i="43"/>
  <c r="U214" i="43"/>
  <c r="U205" i="43"/>
  <c r="U29" i="43" s="1"/>
  <c r="U197" i="43"/>
  <c r="U189" i="43"/>
  <c r="BP96" i="43"/>
  <c r="BQ98" i="43"/>
  <c r="AN98" i="43"/>
  <c r="I25" i="66"/>
  <c r="I30" i="66" s="1"/>
  <c r="BD97" i="43"/>
  <c r="AL98" i="43"/>
  <c r="BN98" i="43"/>
  <c r="BA98" i="43"/>
  <c r="AO97" i="43"/>
  <c r="AK98" i="43"/>
  <c r="G25" i="66"/>
  <c r="G30" i="66" s="1"/>
  <c r="AZ98" i="43"/>
  <c r="H25" i="66"/>
  <c r="H30" i="66" s="1"/>
  <c r="BR97" i="43"/>
  <c r="BO98" i="43"/>
  <c r="BC98" i="43"/>
  <c r="J25" i="66"/>
  <c r="J30" i="66" s="1"/>
  <c r="AZ238" i="43"/>
  <c r="AZ65" i="43" s="1"/>
  <c r="BC232" i="43"/>
  <c r="BC53" i="43" s="1"/>
  <c r="BC229" i="43"/>
  <c r="AZ226" i="43"/>
  <c r="BC220" i="43"/>
  <c r="BB239" i="43"/>
  <c r="BB66" i="43" s="1"/>
  <c r="AX239" i="43"/>
  <c r="AX66" i="43" s="1"/>
  <c r="BC236" i="43"/>
  <c r="BC57" i="43" s="1"/>
  <c r="AY236" i="43"/>
  <c r="AY57" i="43" s="1"/>
  <c r="BD233" i="43"/>
  <c r="BD54" i="43" s="1"/>
  <c r="AZ233" i="43"/>
  <c r="AV233" i="43"/>
  <c r="BA230" i="43"/>
  <c r="AW230" i="43"/>
  <c r="BB227" i="43"/>
  <c r="AX227" i="43"/>
  <c r="BC224" i="43"/>
  <c r="AY224" i="43"/>
  <c r="BD221" i="43"/>
  <c r="AZ221" i="43"/>
  <c r="AV221" i="43"/>
  <c r="BA218" i="43"/>
  <c r="AW218" i="43"/>
  <c r="AY215" i="43"/>
  <c r="BC215" i="43"/>
  <c r="BA214" i="43"/>
  <c r="BC235" i="43"/>
  <c r="BC56" i="43" s="1"/>
  <c r="AZ229" i="43"/>
  <c r="BC223" i="43"/>
  <c r="BA220" i="43"/>
  <c r="BA239" i="43"/>
  <c r="BA66" i="43" s="1"/>
  <c r="AW239" i="43"/>
  <c r="AW66" i="43" s="1"/>
  <c r="BB236" i="43"/>
  <c r="BB57" i="43" s="1"/>
  <c r="AX236" i="43"/>
  <c r="AX57" i="43" s="1"/>
  <c r="BC233" i="43"/>
  <c r="BC54" i="43" s="1"/>
  <c r="AY233" i="43"/>
  <c r="BD230" i="43"/>
  <c r="AZ230" i="43"/>
  <c r="AV230" i="43"/>
  <c r="BA227" i="43"/>
  <c r="AW227" i="43"/>
  <c r="BB224" i="43"/>
  <c r="AX224" i="43"/>
  <c r="BC221" i="43"/>
  <c r="AY221" i="43"/>
  <c r="BD218" i="43"/>
  <c r="AZ218" i="43"/>
  <c r="AV218" i="43"/>
  <c r="AZ215" i="43"/>
  <c r="BD215" i="43"/>
  <c r="AZ214" i="43"/>
  <c r="BC238" i="43"/>
  <c r="BC65" i="43" s="1"/>
  <c r="AZ235" i="43"/>
  <c r="AZ56" i="43" s="1"/>
  <c r="AZ232" i="43"/>
  <c r="BC226" i="43"/>
  <c r="BA223" i="43"/>
  <c r="AZ220" i="43"/>
  <c r="BD239" i="43"/>
  <c r="BD66" i="43" s="1"/>
  <c r="AZ239" i="43"/>
  <c r="AZ66" i="43" s="1"/>
  <c r="AV239" i="43"/>
  <c r="AV66" i="43" s="1"/>
  <c r="BA236" i="43"/>
  <c r="BA57" i="43" s="1"/>
  <c r="AW236" i="43"/>
  <c r="AW57" i="43" s="1"/>
  <c r="BB233" i="43"/>
  <c r="AX233" i="43"/>
  <c r="BC230" i="43"/>
  <c r="AY230" i="43"/>
  <c r="BD227" i="43"/>
  <c r="AZ227" i="43"/>
  <c r="AV227" i="43"/>
  <c r="BA224" i="43"/>
  <c r="AW224" i="43"/>
  <c r="BB221" i="43"/>
  <c r="AX221" i="43"/>
  <c r="BC218" i="43"/>
  <c r="AY218" i="43"/>
  <c r="AW215" i="43"/>
  <c r="BA215" i="43"/>
  <c r="AV215" i="43"/>
  <c r="AZ223" i="43"/>
  <c r="AZ236" i="43"/>
  <c r="AZ57" i="43" s="1"/>
  <c r="BB230" i="43"/>
  <c r="BD224" i="43"/>
  <c r="AW221" i="43"/>
  <c r="BB215" i="43"/>
  <c r="X239" i="43"/>
  <c r="X66" i="43" s="1"/>
  <c r="T239" i="43"/>
  <c r="T66" i="43" s="1"/>
  <c r="X238" i="43"/>
  <c r="X65" i="43" s="1"/>
  <c r="Y236" i="43"/>
  <c r="Y57" i="43" s="1"/>
  <c r="U236" i="43"/>
  <c r="U57" i="43" s="1"/>
  <c r="Z233" i="43"/>
  <c r="V233" i="43"/>
  <c r="Z232" i="43"/>
  <c r="AA230" i="43"/>
  <c r="W230" i="43"/>
  <c r="S230" i="43"/>
  <c r="AA227" i="43"/>
  <c r="W227" i="43"/>
  <c r="S227" i="43"/>
  <c r="W226" i="43"/>
  <c r="X224" i="43"/>
  <c r="T224" i="43"/>
  <c r="X223" i="43"/>
  <c r="Y221" i="43"/>
  <c r="U221" i="43"/>
  <c r="X220" i="43"/>
  <c r="Y218" i="43"/>
  <c r="U218" i="43"/>
  <c r="Z217" i="43"/>
  <c r="V217" i="43"/>
  <c r="T215" i="43"/>
  <c r="X215" i="43"/>
  <c r="S215" i="43"/>
  <c r="AA209" i="43"/>
  <c r="AA33" i="43" s="1"/>
  <c r="W209" i="43"/>
  <c r="W33" i="43" s="1"/>
  <c r="Y207" i="43"/>
  <c r="Y31" i="43" s="1"/>
  <c r="Z203" i="43"/>
  <c r="Z27" i="43" s="1"/>
  <c r="Z195" i="43"/>
  <c r="Z199" i="43"/>
  <c r="AA191" i="43"/>
  <c r="W191" i="43"/>
  <c r="X201" i="43"/>
  <c r="AA189" i="43"/>
  <c r="W189" i="43"/>
  <c r="AA187" i="43"/>
  <c r="BC239" i="43"/>
  <c r="BC66" i="43" s="1"/>
  <c r="AV236" i="43"/>
  <c r="AV57" i="43" s="1"/>
  <c r="AX230" i="43"/>
  <c r="AZ224" i="43"/>
  <c r="BB218" i="43"/>
  <c r="BC214" i="43"/>
  <c r="AA239" i="43"/>
  <c r="AA66" i="43" s="1"/>
  <c r="W239" i="43"/>
  <c r="W66" i="43" s="1"/>
  <c r="S239" i="43"/>
  <c r="S66" i="43" s="1"/>
  <c r="W238" i="43"/>
  <c r="W65" i="43" s="1"/>
  <c r="X236" i="43"/>
  <c r="X57" i="43" s="1"/>
  <c r="T236" i="43"/>
  <c r="T57" i="43" s="1"/>
  <c r="Y233" i="43"/>
  <c r="U233" i="43"/>
  <c r="Z230" i="43"/>
  <c r="V230" i="43"/>
  <c r="Z227" i="43"/>
  <c r="V227" i="43"/>
  <c r="Z226" i="43"/>
  <c r="AA224" i="43"/>
  <c r="W224" i="43"/>
  <c r="S224" i="43"/>
  <c r="W223" i="43"/>
  <c r="X221" i="43"/>
  <c r="T221" i="43"/>
  <c r="W220" i="43"/>
  <c r="X218" i="43"/>
  <c r="T218" i="43"/>
  <c r="Y217" i="43"/>
  <c r="U217" i="43"/>
  <c r="U215" i="43"/>
  <c r="Y215" i="43"/>
  <c r="Z214" i="43"/>
  <c r="AA205" i="43"/>
  <c r="AA29" i="43" s="1"/>
  <c r="X207" i="43"/>
  <c r="X31" i="43" s="1"/>
  <c r="Y203" i="43"/>
  <c r="Y27" i="43" s="1"/>
  <c r="Y199" i="43"/>
  <c r="Z191" i="43"/>
  <c r="AA201" i="43"/>
  <c r="W201" i="43"/>
  <c r="X197" i="43"/>
  <c r="X187" i="43"/>
  <c r="W187" i="43"/>
  <c r="BA226" i="43"/>
  <c r="AY239" i="43"/>
  <c r="AY66" i="43" s="1"/>
  <c r="BA233" i="43"/>
  <c r="BC227" i="43"/>
  <c r="AV224" i="43"/>
  <c r="AX218" i="43"/>
  <c r="Z239" i="43"/>
  <c r="Z66" i="43" s="1"/>
  <c r="V239" i="43"/>
  <c r="V66" i="43" s="1"/>
  <c r="Z238" i="43"/>
  <c r="Z65" i="43" s="1"/>
  <c r="AA236" i="43"/>
  <c r="AA57" i="43" s="1"/>
  <c r="W236" i="43"/>
  <c r="W57" i="43" s="1"/>
  <c r="S236" i="43"/>
  <c r="S57" i="43" s="1"/>
  <c r="W235" i="43"/>
  <c r="W56" i="43" s="1"/>
  <c r="X233" i="43"/>
  <c r="T233" i="43"/>
  <c r="Y230" i="43"/>
  <c r="U230" i="43"/>
  <c r="Z229" i="43"/>
  <c r="Y227" i="43"/>
  <c r="U227" i="43"/>
  <c r="Z224" i="43"/>
  <c r="V224" i="43"/>
  <c r="Z223" i="43"/>
  <c r="AA221" i="43"/>
  <c r="W221" i="43"/>
  <c r="S221" i="43"/>
  <c r="AA218" i="43"/>
  <c r="W218" i="43"/>
  <c r="S218" i="43"/>
  <c r="X217" i="43"/>
  <c r="T217" i="43"/>
  <c r="V215" i="43"/>
  <c r="Z215" i="43"/>
  <c r="X214" i="43"/>
  <c r="X205" i="43"/>
  <c r="X29" i="43" s="1"/>
  <c r="AA207" i="43"/>
  <c r="AA31" i="43" s="1"/>
  <c r="W207" i="43"/>
  <c r="W31" i="43" s="1"/>
  <c r="X203" i="43"/>
  <c r="X27" i="43" s="1"/>
  <c r="W195" i="43"/>
  <c r="X199" i="43"/>
  <c r="Y191" i="43"/>
  <c r="AA197" i="43"/>
  <c r="W197" i="43"/>
  <c r="X193" i="43"/>
  <c r="Y187" i="43"/>
  <c r="AY227" i="43"/>
  <c r="Z235" i="43"/>
  <c r="Z56" i="43" s="1"/>
  <c r="S233" i="43"/>
  <c r="T230" i="43"/>
  <c r="T227" i="43"/>
  <c r="U224" i="43"/>
  <c r="V221" i="43"/>
  <c r="V218" i="43"/>
  <c r="W215" i="43"/>
  <c r="X209" i="43"/>
  <c r="X33" i="43" s="1"/>
  <c r="Z207" i="43"/>
  <c r="Z31" i="43" s="1"/>
  <c r="W193" i="43"/>
  <c r="Z187" i="43"/>
  <c r="U239" i="43"/>
  <c r="U66" i="43" s="1"/>
  <c r="X230" i="43"/>
  <c r="Z221" i="43"/>
  <c r="W199" i="43"/>
  <c r="BA221" i="43"/>
  <c r="W232" i="43"/>
  <c r="W229" i="43"/>
  <c r="X226" i="43"/>
  <c r="Z220" i="43"/>
  <c r="AA217" i="43"/>
  <c r="AA215" i="43"/>
  <c r="X191" i="43"/>
  <c r="AW233" i="43"/>
  <c r="V236" i="43"/>
  <c r="V57" i="43" s="1"/>
  <c r="X227" i="43"/>
  <c r="Z218" i="43"/>
  <c r="AA193" i="43"/>
  <c r="BA238" i="43"/>
  <c r="BA65" i="43" s="1"/>
  <c r="BD236" i="43"/>
  <c r="BD57" i="43" s="1"/>
  <c r="AX215" i="43"/>
  <c r="Y239" i="43"/>
  <c r="Y66" i="43" s="1"/>
  <c r="Z236" i="43"/>
  <c r="Z57" i="43" s="1"/>
  <c r="AA233" i="43"/>
  <c r="W217" i="43"/>
  <c r="W214" i="43"/>
  <c r="W205" i="43"/>
  <c r="W29" i="43" s="1"/>
  <c r="AA203" i="43"/>
  <c r="AA27" i="43" s="1"/>
  <c r="AA199" i="43"/>
  <c r="X189" i="43"/>
  <c r="W233" i="43"/>
  <c r="Y224" i="43"/>
  <c r="S217" i="43"/>
  <c r="W203" i="43"/>
  <c r="W27" i="43" s="1"/>
  <c r="AL317" i="43"/>
  <c r="AK317" i="43"/>
  <c r="AL313" i="43"/>
  <c r="AN317" i="43"/>
  <c r="AK313" i="43"/>
  <c r="AN313" i="43"/>
  <c r="Z319" i="43"/>
  <c r="W317" i="43"/>
  <c r="Y315" i="43"/>
  <c r="Y313" i="43"/>
  <c r="AA319" i="43"/>
  <c r="Z317" i="43"/>
  <c r="Z313" i="43"/>
  <c r="Y319" i="43"/>
  <c r="AA317" i="43"/>
  <c r="AA315" i="43"/>
  <c r="W315" i="43"/>
  <c r="AA313" i="43"/>
  <c r="W319" i="43"/>
  <c r="Z315" i="43"/>
  <c r="X313" i="43"/>
  <c r="Y317" i="43"/>
  <c r="W313" i="43"/>
  <c r="Y180" i="43"/>
  <c r="U180" i="43"/>
  <c r="Z179" i="43"/>
  <c r="V179" i="43"/>
  <c r="AA177" i="43"/>
  <c r="W177" i="43"/>
  <c r="S177" i="43"/>
  <c r="X176" i="43"/>
  <c r="Y174" i="43"/>
  <c r="U174" i="43"/>
  <c r="Z173" i="43"/>
  <c r="V173" i="43"/>
  <c r="AA171" i="43"/>
  <c r="AA39" i="43" s="1"/>
  <c r="W171" i="43"/>
  <c r="W39" i="43" s="1"/>
  <c r="S171" i="43"/>
  <c r="S39" i="43" s="1"/>
  <c r="X170" i="43"/>
  <c r="X38" i="43" s="1"/>
  <c r="V168" i="43"/>
  <c r="Z168" i="43"/>
  <c r="V167" i="43"/>
  <c r="Z167" i="43"/>
  <c r="Z35" i="43" s="1"/>
  <c r="AA162" i="43"/>
  <c r="W162" i="43"/>
  <c r="S162" i="43"/>
  <c r="X158" i="43"/>
  <c r="Y154" i="43"/>
  <c r="Y17" i="43" s="1"/>
  <c r="U154" i="43"/>
  <c r="X160" i="43"/>
  <c r="W156" i="43"/>
  <c r="W152" i="43"/>
  <c r="X150" i="43"/>
  <c r="U150" i="43"/>
  <c r="W148" i="43"/>
  <c r="X180" i="43"/>
  <c r="Y179" i="43"/>
  <c r="U179" i="43"/>
  <c r="Z177" i="43"/>
  <c r="V177" i="43"/>
  <c r="AA176" i="43"/>
  <c r="W176" i="43"/>
  <c r="S176" i="43"/>
  <c r="X174" i="43"/>
  <c r="Y173" i="43"/>
  <c r="U173" i="43"/>
  <c r="Z171" i="43"/>
  <c r="Z39" i="43" s="1"/>
  <c r="V171" i="43"/>
  <c r="AA170" i="43"/>
  <c r="AA38" i="43" s="1"/>
  <c r="W170" i="43"/>
  <c r="S170" i="43"/>
  <c r="S38" i="43" s="1"/>
  <c r="W168" i="43"/>
  <c r="AA168" i="43"/>
  <c r="W167" i="43"/>
  <c r="AA167" i="43"/>
  <c r="Z162" i="43"/>
  <c r="V162" i="43"/>
  <c r="AA158" i="43"/>
  <c r="W158" i="43"/>
  <c r="S158" i="43"/>
  <c r="X154" i="43"/>
  <c r="W160" i="43"/>
  <c r="AA152" i="43"/>
  <c r="Y150" i="43"/>
  <c r="S150" i="43"/>
  <c r="AA180" i="43"/>
  <c r="W180" i="43"/>
  <c r="S180" i="43"/>
  <c r="X179" i="43"/>
  <c r="Y177" i="43"/>
  <c r="U177" i="43"/>
  <c r="Z176" i="43"/>
  <c r="Z44" i="43" s="1"/>
  <c r="V176" i="43"/>
  <c r="AA174" i="43"/>
  <c r="W174" i="43"/>
  <c r="S174" i="43"/>
  <c r="X173" i="43"/>
  <c r="Y171" i="43"/>
  <c r="U171" i="43"/>
  <c r="Z170" i="43"/>
  <c r="V170" i="43"/>
  <c r="X168" i="43"/>
  <c r="U168" i="43"/>
  <c r="X167" i="43"/>
  <c r="U167" i="43"/>
  <c r="Y162" i="43"/>
  <c r="Y25" i="43" s="1"/>
  <c r="U162" i="43"/>
  <c r="Z158" i="43"/>
  <c r="V158" i="43"/>
  <c r="AA154" i="43"/>
  <c r="W154" i="43"/>
  <c r="S154" i="43"/>
  <c r="AA156" i="43"/>
  <c r="V150" i="43"/>
  <c r="Z150" i="43"/>
  <c r="AA148" i="43"/>
  <c r="V180" i="43"/>
  <c r="X177" i="43"/>
  <c r="Z174" i="43"/>
  <c r="S173" i="43"/>
  <c r="U170" i="43"/>
  <c r="Y167" i="43"/>
  <c r="Y158" i="43"/>
  <c r="AA160" i="43"/>
  <c r="X152" i="43"/>
  <c r="X148" i="43"/>
  <c r="S179" i="43"/>
  <c r="Y170" i="43"/>
  <c r="V154" i="43"/>
  <c r="AA150" i="43"/>
  <c r="AA179" i="43"/>
  <c r="V174" i="43"/>
  <c r="X171" i="43"/>
  <c r="S167" i="43"/>
  <c r="U158" i="43"/>
  <c r="U176" i="43"/>
  <c r="S168" i="43"/>
  <c r="W179" i="43"/>
  <c r="Y176" i="43"/>
  <c r="AA173" i="43"/>
  <c r="Y168" i="43"/>
  <c r="X162" i="43"/>
  <c r="Z154" i="43"/>
  <c r="Z17" i="43" s="1"/>
  <c r="X156" i="43"/>
  <c r="W150" i="43"/>
  <c r="Z180" i="43"/>
  <c r="W173" i="43"/>
  <c r="AL306" i="43"/>
  <c r="AL72" i="43" s="1"/>
  <c r="AL305" i="43"/>
  <c r="AL71" i="43" s="1"/>
  <c r="AK303" i="43"/>
  <c r="AK60" i="43" s="1"/>
  <c r="AK302" i="43"/>
  <c r="AK59" i="43" s="1"/>
  <c r="AN299" i="43"/>
  <c r="AL297" i="43"/>
  <c r="AK296" i="43"/>
  <c r="AL294" i="43"/>
  <c r="AH294" i="43"/>
  <c r="AL293" i="43"/>
  <c r="AJ291" i="43"/>
  <c r="AN291" i="43"/>
  <c r="AL290" i="43"/>
  <c r="AL283" i="43"/>
  <c r="AK275" i="43"/>
  <c r="AK271" i="43"/>
  <c r="AK306" i="43"/>
  <c r="AK72" i="43" s="1"/>
  <c r="AK305" i="43"/>
  <c r="AK71" i="43" s="1"/>
  <c r="AN302" i="43"/>
  <c r="AN59" i="43" s="1"/>
  <c r="AN300" i="43"/>
  <c r="AL299" i="43"/>
  <c r="AK297" i="43"/>
  <c r="AO294" i="43"/>
  <c r="AK294" i="43"/>
  <c r="AG294" i="43"/>
  <c r="AK293" i="43"/>
  <c r="AK291" i="43"/>
  <c r="AO291" i="43"/>
  <c r="AK290" i="43"/>
  <c r="AN279" i="43"/>
  <c r="AN275" i="43"/>
  <c r="Z306" i="43"/>
  <c r="Z72" i="43" s="1"/>
  <c r="V306" i="43"/>
  <c r="AN306" i="43"/>
  <c r="AN72" i="43" s="1"/>
  <c r="AN305" i="43"/>
  <c r="AN71" i="43" s="1"/>
  <c r="AN303" i="43"/>
  <c r="AN60" i="43" s="1"/>
  <c r="AL300" i="43"/>
  <c r="AK299" i="43"/>
  <c r="AN296" i="43"/>
  <c r="AN294" i="43"/>
  <c r="AJ294" i="43"/>
  <c r="AN293" i="43"/>
  <c r="AH291" i="43"/>
  <c r="AL291" i="43"/>
  <c r="AG291" i="43"/>
  <c r="AN283" i="43"/>
  <c r="AL279" i="43"/>
  <c r="AN271" i="43"/>
  <c r="Y306" i="43"/>
  <c r="U306" i="43"/>
  <c r="Z305" i="43"/>
  <c r="Z71" i="43" s="1"/>
  <c r="AL296" i="43"/>
  <c r="AN290" i="43"/>
  <c r="W306" i="43"/>
  <c r="X303" i="43"/>
  <c r="T303" i="43"/>
  <c r="Y300" i="43"/>
  <c r="U300" i="43"/>
  <c r="Z299" i="43"/>
  <c r="W297" i="43"/>
  <c r="AA297" i="43"/>
  <c r="Z296" i="43"/>
  <c r="AA294" i="43"/>
  <c r="W294" i="43"/>
  <c r="S294" i="43"/>
  <c r="X293" i="43"/>
  <c r="Z291" i="43"/>
  <c r="U291" i="43"/>
  <c r="W285" i="43"/>
  <c r="W283" i="43"/>
  <c r="Z279" i="43"/>
  <c r="Z271" i="43"/>
  <c r="W273" i="43"/>
  <c r="AL302" i="43"/>
  <c r="AL59" i="43" s="1"/>
  <c r="AK283" i="43"/>
  <c r="AK279" i="43"/>
  <c r="AL275" i="43"/>
  <c r="AL271" i="43"/>
  <c r="T306" i="43"/>
  <c r="AA303" i="43"/>
  <c r="AA60" i="43" s="1"/>
  <c r="W303" i="43"/>
  <c r="S303" i="43"/>
  <c r="X300" i="43"/>
  <c r="T300" i="43"/>
  <c r="X297" i="43"/>
  <c r="U297" i="43"/>
  <c r="Z294" i="43"/>
  <c r="V294" i="43"/>
  <c r="W293" i="43"/>
  <c r="AA291" i="43"/>
  <c r="T291" i="43"/>
  <c r="Z290" i="43"/>
  <c r="AA285" i="43"/>
  <c r="Z283" i="43"/>
  <c r="X281" i="43"/>
  <c r="X279" i="43"/>
  <c r="X271" i="43"/>
  <c r="AN297" i="43"/>
  <c r="AM294" i="43"/>
  <c r="AI291" i="43"/>
  <c r="AA306" i="43"/>
  <c r="AA72" i="43" s="1"/>
  <c r="S306" i="43"/>
  <c r="Z303" i="43"/>
  <c r="Z60" i="43" s="1"/>
  <c r="V303" i="43"/>
  <c r="AA300" i="43"/>
  <c r="W300" i="43"/>
  <c r="S300" i="43"/>
  <c r="Y297" i="43"/>
  <c r="T297" i="43"/>
  <c r="Y294" i="43"/>
  <c r="U294" i="43"/>
  <c r="Z293" i="43"/>
  <c r="X291" i="43"/>
  <c r="W291" i="43"/>
  <c r="S291" i="43"/>
  <c r="AA281" i="43"/>
  <c r="W281" i="43"/>
  <c r="X277" i="43"/>
  <c r="W279" i="43"/>
  <c r="X275" i="43"/>
  <c r="AA273" i="43"/>
  <c r="W271" i="43"/>
  <c r="AL303" i="43"/>
  <c r="AL60" i="43" s="1"/>
  <c r="AM291" i="43"/>
  <c r="Y303" i="43"/>
  <c r="Z300" i="43"/>
  <c r="V297" i="43"/>
  <c r="W290" i="43"/>
  <c r="AA277" i="43"/>
  <c r="Z275" i="43"/>
  <c r="AK300" i="43"/>
  <c r="X306" i="43"/>
  <c r="U303" i="43"/>
  <c r="U60" i="43" s="1"/>
  <c r="V300" i="43"/>
  <c r="Z297" i="43"/>
  <c r="X294" i="43"/>
  <c r="Y291" i="43"/>
  <c r="W277" i="43"/>
  <c r="W275" i="43"/>
  <c r="Z302" i="43"/>
  <c r="Z59" i="43" s="1"/>
  <c r="S297" i="43"/>
  <c r="T294" i="43"/>
  <c r="V291" i="43"/>
  <c r="X290" i="43"/>
  <c r="X273" i="43"/>
  <c r="AI294" i="43"/>
  <c r="W296" i="43"/>
  <c r="Z260" i="43"/>
  <c r="Z264" i="43"/>
  <c r="Z69" i="43" s="1"/>
  <c r="V264" i="43"/>
  <c r="V69" i="43" s="1"/>
  <c r="AA261" i="43"/>
  <c r="W261" i="43"/>
  <c r="S261" i="43"/>
  <c r="X258" i="43"/>
  <c r="T258" i="43"/>
  <c r="W257" i="43"/>
  <c r="X252" i="43"/>
  <c r="T252" i="43"/>
  <c r="W250" i="43"/>
  <c r="W248" i="43"/>
  <c r="AA248" i="43"/>
  <c r="W246" i="43"/>
  <c r="Z263" i="43"/>
  <c r="Z68" i="43" s="1"/>
  <c r="X260" i="43"/>
  <c r="Y264" i="43"/>
  <c r="Y69" i="43" s="1"/>
  <c r="U264" i="43"/>
  <c r="U69" i="43" s="1"/>
  <c r="Z261" i="43"/>
  <c r="V261" i="43"/>
  <c r="AA258" i="43"/>
  <c r="W258" i="43"/>
  <c r="S258" i="43"/>
  <c r="AA252" i="43"/>
  <c r="W252" i="43"/>
  <c r="S252" i="43"/>
  <c r="T248" i="43"/>
  <c r="X248" i="43"/>
  <c r="S248" i="43"/>
  <c r="X263" i="43"/>
  <c r="X68" i="43" s="1"/>
  <c r="W260" i="43"/>
  <c r="X264" i="43"/>
  <c r="X69" i="43" s="1"/>
  <c r="T264" i="43"/>
  <c r="T69" i="43" s="1"/>
  <c r="Y261" i="43"/>
  <c r="U261" i="43"/>
  <c r="Z258" i="43"/>
  <c r="V258" i="43"/>
  <c r="Z257" i="43"/>
  <c r="Z252" i="43"/>
  <c r="V252" i="43"/>
  <c r="U248" i="43"/>
  <c r="Y248" i="43"/>
  <c r="S264" i="43"/>
  <c r="S69" i="43" s="1"/>
  <c r="U258" i="43"/>
  <c r="U252" i="43"/>
  <c r="Z248" i="43"/>
  <c r="X261" i="43"/>
  <c r="X257" i="43"/>
  <c r="X250" i="43"/>
  <c r="X246" i="43"/>
  <c r="AA264" i="43"/>
  <c r="AA69" i="43" s="1"/>
  <c r="T261" i="43"/>
  <c r="W263" i="43"/>
  <c r="W68" i="43" s="1"/>
  <c r="V248" i="43"/>
  <c r="W264" i="43"/>
  <c r="W69" i="43" s="1"/>
  <c r="Y258" i="43"/>
  <c r="Y252" i="43"/>
  <c r="K26" i="66"/>
  <c r="K27" i="66" s="1"/>
  <c r="G26" i="66"/>
  <c r="H26" i="66"/>
  <c r="N26" i="66"/>
  <c r="N27" i="66" s="1"/>
  <c r="Y97" i="43"/>
  <c r="G11" i="66"/>
  <c r="I26" i="66"/>
  <c r="L26" i="66"/>
  <c r="L27" i="66" s="1"/>
  <c r="BA211" i="43" l="1"/>
  <c r="AK17" i="43"/>
  <c r="BM25" i="43"/>
  <c r="BL17" i="43"/>
  <c r="BL53" i="43"/>
  <c r="BQ17" i="43"/>
  <c r="AM45" i="43"/>
  <c r="AJ44" i="43"/>
  <c r="BQ38" i="43"/>
  <c r="BN39" i="43"/>
  <c r="BN51" i="43"/>
  <c r="BO42" i="43"/>
  <c r="BO50" i="43"/>
  <c r="BO53" i="43"/>
  <c r="BR15" i="43"/>
  <c r="BJ47" i="43"/>
  <c r="BL41" i="43"/>
  <c r="BP19" i="43"/>
  <c r="AM47" i="43"/>
  <c r="BM17" i="43"/>
  <c r="BM41" i="43"/>
  <c r="BJ17" i="43"/>
  <c r="BM50" i="43"/>
  <c r="BL25" i="43"/>
  <c r="BC51" i="43"/>
  <c r="AI45" i="43"/>
  <c r="AK35" i="43"/>
  <c r="BN54" i="43"/>
  <c r="BJ51" i="43"/>
  <c r="BO54" i="43"/>
  <c r="BP54" i="43"/>
  <c r="AO17" i="43"/>
  <c r="BC364" i="43"/>
  <c r="BQ42" i="43"/>
  <c r="AM11" i="43"/>
  <c r="AX365" i="43"/>
  <c r="BO23" i="43"/>
  <c r="BP11" i="43"/>
  <c r="BC287" i="43"/>
  <c r="AZ288" i="43"/>
  <c r="BD321" i="43"/>
  <c r="AZ322" i="43"/>
  <c r="AG90" i="43"/>
  <c r="AG54" i="43"/>
  <c r="BQ51" i="43"/>
  <c r="BN36" i="43"/>
  <c r="BO39" i="43"/>
  <c r="BP39" i="43"/>
  <c r="BN48" i="43"/>
  <c r="AK21" i="43"/>
  <c r="AM17" i="43"/>
  <c r="BK50" i="43"/>
  <c r="BR25" i="43"/>
  <c r="BM23" i="43"/>
  <c r="BN15" i="43"/>
  <c r="BO21" i="43"/>
  <c r="BL72" i="43"/>
  <c r="AA45" i="43"/>
  <c r="BP36" i="43"/>
  <c r="BO48" i="43"/>
  <c r="BP45" i="43"/>
  <c r="AJ35" i="43"/>
  <c r="BP48" i="43"/>
  <c r="BN45" i="43"/>
  <c r="BN41" i="43"/>
  <c r="BL54" i="43"/>
  <c r="AL25" i="43"/>
  <c r="AG17" i="43"/>
  <c r="BM53" i="43"/>
  <c r="BJ50" i="43"/>
  <c r="BC17" i="43"/>
  <c r="BK17" i="43"/>
  <c r="BN23" i="43"/>
  <c r="BP47" i="43"/>
  <c r="BP60" i="43"/>
  <c r="AA36" i="43"/>
  <c r="Z36" i="43"/>
  <c r="AG309" i="43"/>
  <c r="Z38" i="43"/>
  <c r="Z25" i="43"/>
  <c r="Z45" i="43"/>
  <c r="BD51" i="43"/>
  <c r="AH54" i="43"/>
  <c r="AI54" i="43"/>
  <c r="AM36" i="43"/>
  <c r="AJ41" i="43"/>
  <c r="BQ53" i="43"/>
  <c r="BP42" i="43"/>
  <c r="BM42" i="43"/>
  <c r="BN42" i="43"/>
  <c r="BO36" i="43"/>
  <c r="BO45" i="43"/>
  <c r="AN17" i="43"/>
  <c r="AA279" i="43"/>
  <c r="AA23" i="43" s="1"/>
  <c r="AM25" i="43"/>
  <c r="BJ53" i="43"/>
  <c r="BL15" i="43"/>
  <c r="BB25" i="43"/>
  <c r="BR23" i="43"/>
  <c r="BJ25" i="43"/>
  <c r="BK41" i="43"/>
  <c r="AW337" i="43"/>
  <c r="BC288" i="43"/>
  <c r="S90" i="43"/>
  <c r="G13" i="66" s="1"/>
  <c r="BB322" i="43"/>
  <c r="AZ321" i="43"/>
  <c r="AH211" i="43"/>
  <c r="AG51" i="43"/>
  <c r="AN45" i="43"/>
  <c r="AH51" i="43"/>
  <c r="BQ39" i="43"/>
  <c r="BM51" i="43"/>
  <c r="BQ47" i="43"/>
  <c r="BL39" i="43"/>
  <c r="BO51" i="43"/>
  <c r="AN25" i="43"/>
  <c r="BK53" i="43"/>
  <c r="BC25" i="43"/>
  <c r="BM47" i="43"/>
  <c r="BJ23" i="43"/>
  <c r="BK47" i="43"/>
  <c r="BK23" i="43"/>
  <c r="BP50" i="43"/>
  <c r="AM71" i="43"/>
  <c r="AW287" i="43"/>
  <c r="AX287" i="43"/>
  <c r="BB288" i="43"/>
  <c r="BJ288" i="43"/>
  <c r="BJ90" i="43"/>
  <c r="AX321" i="43"/>
  <c r="BB337" i="43"/>
  <c r="BC322" i="43"/>
  <c r="AY337" i="43"/>
  <c r="BA336" i="43"/>
  <c r="BM336" i="43"/>
  <c r="AK211" i="43"/>
  <c r="AL211" i="43"/>
  <c r="BD350" i="43"/>
  <c r="BB365" i="43"/>
  <c r="AY365" i="43"/>
  <c r="AK44" i="43"/>
  <c r="AJ54" i="43"/>
  <c r="AG35" i="43"/>
  <c r="BL45" i="43"/>
  <c r="BL42" i="43"/>
  <c r="BL36" i="43"/>
  <c r="BL48" i="43"/>
  <c r="AI17" i="43"/>
  <c r="BJ11" i="43"/>
  <c r="BL47" i="43"/>
  <c r="BL76" i="43" s="1"/>
  <c r="Y288" i="43"/>
  <c r="AW288" i="43"/>
  <c r="AX288" i="43"/>
  <c r="AV308" i="43"/>
  <c r="BD309" i="43"/>
  <c r="AW309" i="43"/>
  <c r="BL288" i="43"/>
  <c r="BJ287" i="43"/>
  <c r="BQ288" i="43"/>
  <c r="BM309" i="43"/>
  <c r="BJ308" i="43"/>
  <c r="BL309" i="43"/>
  <c r="BB321" i="43"/>
  <c r="AX364" i="43"/>
  <c r="BC365" i="43"/>
  <c r="BR17" i="43"/>
  <c r="BM15" i="43"/>
  <c r="BO17" i="43"/>
  <c r="Z254" i="43"/>
  <c r="E35" i="60"/>
  <c r="E71" i="60"/>
  <c r="E19" i="60"/>
  <c r="E47" i="60"/>
  <c r="E59" i="60"/>
  <c r="AY288" i="43"/>
  <c r="BA288" i="43"/>
  <c r="AV287" i="43"/>
  <c r="BD288" i="43"/>
  <c r="AZ308" i="43"/>
  <c r="BA309" i="43"/>
  <c r="AX309" i="43"/>
  <c r="BN287" i="43"/>
  <c r="AY308" i="43"/>
  <c r="BQ309" i="43"/>
  <c r="BN308" i="43"/>
  <c r="BO287" i="43"/>
  <c r="BK308" i="43"/>
  <c r="BP71" i="43"/>
  <c r="BP15" i="43"/>
  <c r="AW90" i="43"/>
  <c r="AW98" i="43" s="1"/>
  <c r="AY90" i="43"/>
  <c r="AV90" i="43"/>
  <c r="AJ90" i="43"/>
  <c r="BC336" i="43"/>
  <c r="BC321" i="43"/>
  <c r="AV321" i="43"/>
  <c r="BD322" i="43"/>
  <c r="AZ337" i="43"/>
  <c r="BA321" i="43"/>
  <c r="AX336" i="43"/>
  <c r="BP325" i="43"/>
  <c r="BM337" i="43"/>
  <c r="BR313" i="43"/>
  <c r="BR321" i="43" s="1"/>
  <c r="BP321" i="43"/>
  <c r="BR212" i="43"/>
  <c r="AV211" i="43"/>
  <c r="BM211" i="43"/>
  <c r="AO211" i="43"/>
  <c r="AK212" i="43"/>
  <c r="AZ212" i="43"/>
  <c r="AI212" i="43"/>
  <c r="BB212" i="43"/>
  <c r="BQ212" i="43"/>
  <c r="BD212" i="43"/>
  <c r="Z212" i="43"/>
  <c r="BL211" i="43"/>
  <c r="AG212" i="43"/>
  <c r="AJ211" i="43"/>
  <c r="AX212" i="43"/>
  <c r="AZ364" i="43"/>
  <c r="AW364" i="43"/>
  <c r="BN25" i="43"/>
  <c r="BO25" i="43"/>
  <c r="BO15" i="43"/>
  <c r="BP25" i="43"/>
  <c r="E36" i="60"/>
  <c r="E48" i="60"/>
  <c r="E72" i="60"/>
  <c r="E20" i="60"/>
  <c r="E60" i="60"/>
  <c r="E39" i="60"/>
  <c r="E23" i="60"/>
  <c r="E63" i="60"/>
  <c r="E51" i="60"/>
  <c r="E75" i="60"/>
  <c r="BB287" i="43"/>
  <c r="BD271" i="43"/>
  <c r="BD287" i="43" s="1"/>
  <c r="AZ287" i="43"/>
  <c r="AV309" i="43"/>
  <c r="BL287" i="43"/>
  <c r="AW308" i="43"/>
  <c r="BB309" i="43"/>
  <c r="BP288" i="43"/>
  <c r="BC308" i="43"/>
  <c r="BK287" i="43"/>
  <c r="BQ287" i="43"/>
  <c r="BM308" i="43"/>
  <c r="BN288" i="43"/>
  <c r="BJ309" i="43"/>
  <c r="BK288" i="43"/>
  <c r="BO308" i="43"/>
  <c r="BL308" i="43"/>
  <c r="BP59" i="43"/>
  <c r="AI90" i="43"/>
  <c r="BM90" i="43"/>
  <c r="BL90" i="43"/>
  <c r="V90" i="43"/>
  <c r="J13" i="66" s="1"/>
  <c r="T183" i="43"/>
  <c r="AX337" i="43"/>
  <c r="AX322" i="43"/>
  <c r="BD336" i="43"/>
  <c r="AW336" i="43"/>
  <c r="BD337" i="43"/>
  <c r="AV322" i="43"/>
  <c r="BB336" i="43"/>
  <c r="BQ337" i="43"/>
  <c r="AO212" i="43"/>
  <c r="AM212" i="43"/>
  <c r="AI211" i="43"/>
  <c r="BN211" i="43"/>
  <c r="Y212" i="43"/>
  <c r="BO211" i="43"/>
  <c r="AY212" i="43"/>
  <c r="BC212" i="43"/>
  <c r="BK211" i="43"/>
  <c r="AY211" i="43"/>
  <c r="BP31" i="43"/>
  <c r="BR207" i="43"/>
  <c r="BR31" i="43" s="1"/>
  <c r="BR187" i="43"/>
  <c r="BP211" i="43"/>
  <c r="Y350" i="43"/>
  <c r="Z350" i="43"/>
  <c r="AV365" i="43"/>
  <c r="BB349" i="43"/>
  <c r="BD341" i="43"/>
  <c r="BD349" i="43" s="1"/>
  <c r="BA364" i="43"/>
  <c r="BM364" i="43"/>
  <c r="BQ365" i="43"/>
  <c r="AL21" i="43"/>
  <c r="AI38" i="43"/>
  <c r="AN38" i="43"/>
  <c r="AK39" i="43"/>
  <c r="BQ25" i="43"/>
  <c r="BL23" i="43"/>
  <c r="BJ41" i="43"/>
  <c r="E41" i="60"/>
  <c r="E77" i="60"/>
  <c r="E25" i="60"/>
  <c r="E65" i="60"/>
  <c r="E53" i="60"/>
  <c r="Z288" i="43"/>
  <c r="AY287" i="43"/>
  <c r="AV288" i="43"/>
  <c r="AZ309" i="43"/>
  <c r="BA308" i="43"/>
  <c r="BM287" i="43"/>
  <c r="AX308" i="43"/>
  <c r="AY309" i="43"/>
  <c r="BR271" i="43"/>
  <c r="BR287" i="43" s="1"/>
  <c r="BP287" i="43"/>
  <c r="BM288" i="43"/>
  <c r="BQ308" i="43"/>
  <c r="BP309" i="43"/>
  <c r="BR300" i="43"/>
  <c r="BR309" i="43" s="1"/>
  <c r="BR288" i="43"/>
  <c r="BN309" i="43"/>
  <c r="BO288" i="43"/>
  <c r="BK309" i="43"/>
  <c r="BR290" i="43"/>
  <c r="BP308" i="43"/>
  <c r="BP53" i="43"/>
  <c r="AJ60" i="43"/>
  <c r="BL212" i="43"/>
  <c r="BD187" i="43"/>
  <c r="BD211" i="43" s="1"/>
  <c r="BB211" i="43"/>
  <c r="BJ211" i="43"/>
  <c r="AW211" i="43"/>
  <c r="AM211" i="43"/>
  <c r="BB350" i="43"/>
  <c r="AZ365" i="43"/>
  <c r="AW365" i="43"/>
  <c r="BQ364" i="43"/>
  <c r="E46" i="60"/>
  <c r="E34" i="60"/>
  <c r="E18" i="60"/>
  <c r="E70" i="60"/>
  <c r="E58" i="60"/>
  <c r="BA287" i="43"/>
  <c r="BB308" i="43"/>
  <c r="BD290" i="43"/>
  <c r="BD308" i="43" s="1"/>
  <c r="BC309" i="43"/>
  <c r="BO309" i="43"/>
  <c r="BR308" i="43"/>
  <c r="BP23" i="43"/>
  <c r="AM19" i="43"/>
  <c r="T90" i="43"/>
  <c r="H13" i="66" s="1"/>
  <c r="BK90" i="43"/>
  <c r="U90" i="43"/>
  <c r="I13" i="66" s="1"/>
  <c r="AY336" i="43"/>
  <c r="AV336" i="43"/>
  <c r="AY322" i="43"/>
  <c r="AV337" i="43"/>
  <c r="AW321" i="43"/>
  <c r="BA337" i="43"/>
  <c r="BP336" i="43"/>
  <c r="BR324" i="43"/>
  <c r="BR336" i="43" s="1"/>
  <c r="BQ336" i="43"/>
  <c r="BP72" i="43"/>
  <c r="BK212" i="43"/>
  <c r="BO212" i="43"/>
  <c r="AL212" i="43"/>
  <c r="BN212" i="43"/>
  <c r="BA212" i="43"/>
  <c r="BM212" i="43"/>
  <c r="AZ211" i="43"/>
  <c r="AV212" i="43"/>
  <c r="BP212" i="43"/>
  <c r="BJ212" i="43"/>
  <c r="BQ211" i="43"/>
  <c r="AJ212" i="43"/>
  <c r="AG211" i="43"/>
  <c r="AN212" i="43"/>
  <c r="AX211" i="43"/>
  <c r="BC211" i="43"/>
  <c r="AW212" i="43"/>
  <c r="BD355" i="43"/>
  <c r="BD364" i="43" s="1"/>
  <c r="BB364" i="43"/>
  <c r="AV364" i="43"/>
  <c r="BD365" i="43"/>
  <c r="BC350" i="43"/>
  <c r="BA365" i="43"/>
  <c r="BM365" i="43"/>
  <c r="BP353" i="43"/>
  <c r="BP349" i="43"/>
  <c r="BR341" i="43"/>
  <c r="BR349" i="43" s="1"/>
  <c r="BR352" i="43"/>
  <c r="BR364" i="43" s="1"/>
  <c r="BP364" i="43"/>
  <c r="BM60" i="43"/>
  <c r="AL42" i="43"/>
  <c r="AN50" i="43"/>
  <c r="AI48" i="43"/>
  <c r="AN44" i="43"/>
  <c r="AK53" i="43"/>
  <c r="AK42" i="43"/>
  <c r="AI51" i="43"/>
  <c r="AN54" i="43"/>
  <c r="AL48" i="43"/>
  <c r="BQ41" i="43"/>
  <c r="BM45" i="43"/>
  <c r="BR36" i="43"/>
  <c r="BR48" i="43"/>
  <c r="AO13" i="43"/>
  <c r="AN21" i="43"/>
  <c r="AL38" i="43"/>
  <c r="AM38" i="43"/>
  <c r="AG38" i="43"/>
  <c r="AK19" i="43"/>
  <c r="AJ39" i="43"/>
  <c r="AK15" i="43"/>
  <c r="AO39" i="43"/>
  <c r="BR21" i="43"/>
  <c r="BL13" i="43"/>
  <c r="AI41" i="43"/>
  <c r="AI50" i="43"/>
  <c r="BN50" i="43"/>
  <c r="BQ45" i="43"/>
  <c r="BR45" i="43"/>
  <c r="AK25" i="43"/>
  <c r="AJ13" i="43"/>
  <c r="AL39" i="43"/>
  <c r="AI39" i="43"/>
  <c r="AG39" i="43"/>
  <c r="AN39" i="43"/>
  <c r="BM13" i="43"/>
  <c r="AK38" i="43"/>
  <c r="BQ13" i="43"/>
  <c r="BQ21" i="43"/>
  <c r="BN13" i="43"/>
  <c r="BJ13" i="43"/>
  <c r="BP13" i="43"/>
  <c r="AI35" i="43"/>
  <c r="AJ51" i="43"/>
  <c r="AM54" i="43"/>
  <c r="BM54" i="43"/>
  <c r="BR42" i="43"/>
  <c r="AL17" i="43"/>
  <c r="AL13" i="43"/>
  <c r="AM39" i="43"/>
  <c r="AJ38" i="43"/>
  <c r="AO38" i="43"/>
  <c r="AH38" i="43"/>
  <c r="BM21" i="43"/>
  <c r="BR13" i="43"/>
  <c r="BO13" i="43"/>
  <c r="BO75" i="43" s="1"/>
  <c r="BJ21" i="43"/>
  <c r="BL21" i="43"/>
  <c r="BN21" i="43"/>
  <c r="BK13" i="43"/>
  <c r="BP21" i="43"/>
  <c r="BK21" i="43"/>
  <c r="AJ45" i="43"/>
  <c r="AO48" i="43"/>
  <c r="BO38" i="43"/>
  <c r="BO41" i="43"/>
  <c r="BN47" i="43"/>
  <c r="BM36" i="43"/>
  <c r="BO47" i="43"/>
  <c r="AK13" i="43"/>
  <c r="AJ25" i="43"/>
  <c r="AJ36" i="43"/>
  <c r="BQ36" i="43"/>
  <c r="BQ44" i="43"/>
  <c r="BM48" i="43"/>
  <c r="BN44" i="43"/>
  <c r="AM182" i="43"/>
  <c r="AM35" i="43"/>
  <c r="BP182" i="43"/>
  <c r="BP35" i="43"/>
  <c r="AL11" i="43"/>
  <c r="AK23" i="43"/>
  <c r="AH19" i="43"/>
  <c r="AN51" i="43"/>
  <c r="AN48" i="43"/>
  <c r="AG41" i="43"/>
  <c r="AN41" i="43"/>
  <c r="AO42" i="43"/>
  <c r="AM51" i="43"/>
  <c r="AJ53" i="43"/>
  <c r="AG50" i="43"/>
  <c r="AH53" i="43"/>
  <c r="BQ50" i="43"/>
  <c r="BK51" i="43"/>
  <c r="BK77" i="43" s="1"/>
  <c r="AG25" i="43"/>
  <c r="AL53" i="43"/>
  <c r="AL15" i="43"/>
  <c r="AG45" i="43"/>
  <c r="AK11" i="43"/>
  <c r="BJ183" i="43"/>
  <c r="BJ36" i="43"/>
  <c r="BJ39" i="43"/>
  <c r="BJ42" i="43"/>
  <c r="BJ45" i="43"/>
  <c r="BJ48" i="43"/>
  <c r="BN19" i="43"/>
  <c r="AJ48" i="43"/>
  <c r="AH48" i="43"/>
  <c r="AK47" i="43"/>
  <c r="AK54" i="43"/>
  <c r="AI42" i="43"/>
  <c r="AL54" i="43"/>
  <c r="AK41" i="43"/>
  <c r="AJ42" i="43"/>
  <c r="AI47" i="43"/>
  <c r="AK48" i="43"/>
  <c r="AN53" i="43"/>
  <c r="BR54" i="43"/>
  <c r="AL50" i="43"/>
  <c r="AG36" i="43"/>
  <c r="AJ19" i="43"/>
  <c r="J33" i="51" s="1"/>
  <c r="AG48" i="43"/>
  <c r="BO19" i="43"/>
  <c r="AL41" i="43"/>
  <c r="Z51" i="43"/>
  <c r="BC50" i="43"/>
  <c r="AH42" i="43"/>
  <c r="AM48" i="43"/>
  <c r="AM42" i="43"/>
  <c r="AL47" i="43"/>
  <c r="AK51" i="43"/>
  <c r="AN42" i="43"/>
  <c r="AN47" i="43"/>
  <c r="AL51" i="43"/>
  <c r="AK50" i="43"/>
  <c r="BL51" i="43"/>
  <c r="BL77" i="43" s="1"/>
  <c r="BN53" i="43"/>
  <c r="AO21" i="43"/>
  <c r="AG13" i="43"/>
  <c r="AG42" i="43"/>
  <c r="AL23" i="43"/>
  <c r="AL19" i="43"/>
  <c r="AI19" i="43"/>
  <c r="I33" i="51" s="1"/>
  <c r="BO11" i="43"/>
  <c r="BN11" i="43"/>
  <c r="BN74" i="43" s="1"/>
  <c r="AJ50" i="43"/>
  <c r="AJ21" i="43"/>
  <c r="AI53" i="43"/>
  <c r="AH50" i="43"/>
  <c r="AG47" i="43"/>
  <c r="AG53" i="43"/>
  <c r="AG21" i="43"/>
  <c r="AM13" i="43"/>
  <c r="AI13" i="43"/>
  <c r="T254" i="43"/>
  <c r="AJ47" i="43"/>
  <c r="AM21" i="43"/>
  <c r="AN13" i="43"/>
  <c r="AO54" i="43"/>
  <c r="AI21" i="43"/>
  <c r="AG15" i="43"/>
  <c r="AH35" i="43"/>
  <c r="AJ23" i="43"/>
  <c r="AI23" i="43"/>
  <c r="AH11" i="43"/>
  <c r="AG19" i="43"/>
  <c r="AH41" i="43"/>
  <c r="AH23" i="43"/>
  <c r="AI11" i="43"/>
  <c r="AH21" i="43"/>
  <c r="AG23" i="43"/>
  <c r="AH47" i="43"/>
  <c r="AJ11" i="43"/>
  <c r="AH13" i="43"/>
  <c r="AI15" i="43"/>
  <c r="AH25" i="43"/>
  <c r="AG11" i="43"/>
  <c r="AH17" i="43"/>
  <c r="AJ15" i="43"/>
  <c r="AH15" i="43"/>
  <c r="AH44" i="43"/>
  <c r="BJ76" i="43"/>
  <c r="BL11" i="43"/>
  <c r="BK11" i="43"/>
  <c r="BL19" i="43"/>
  <c r="BJ19" i="43"/>
  <c r="BK19" i="43"/>
  <c r="BK38" i="43"/>
  <c r="BK76" i="43" s="1"/>
  <c r="BM19" i="43"/>
  <c r="BP217" i="43"/>
  <c r="BP38" i="43" s="1"/>
  <c r="BM38" i="43"/>
  <c r="BM76" i="43" s="1"/>
  <c r="BM11" i="43"/>
  <c r="BD13" i="43"/>
  <c r="BC39" i="43"/>
  <c r="AO183" i="43"/>
  <c r="BC35" i="43"/>
  <c r="BC47" i="43"/>
  <c r="BC21" i="43"/>
  <c r="BD183" i="43"/>
  <c r="BD36" i="43"/>
  <c r="BD39" i="43"/>
  <c r="BD42" i="43"/>
  <c r="BD45" i="43"/>
  <c r="BD48" i="43"/>
  <c r="BD17" i="43"/>
  <c r="O23" i="54" s="1"/>
  <c r="Z21" i="43"/>
  <c r="AA25" i="43"/>
  <c r="Z54" i="43"/>
  <c r="BC42" i="43"/>
  <c r="AN183" i="43"/>
  <c r="BC13" i="43"/>
  <c r="Z42" i="43"/>
  <c r="Z13" i="43"/>
  <c r="Z50" i="43"/>
  <c r="AA51" i="43"/>
  <c r="AM322" i="43"/>
  <c r="BC45" i="43"/>
  <c r="AO182" i="43"/>
  <c r="BC41" i="43"/>
  <c r="BD182" i="43"/>
  <c r="Z48" i="43"/>
  <c r="AA13" i="43"/>
  <c r="AA17" i="43"/>
  <c r="AA42" i="43"/>
  <c r="AA48" i="43"/>
  <c r="AA21" i="43"/>
  <c r="Z41" i="43"/>
  <c r="Z47" i="43"/>
  <c r="AA54" i="43"/>
  <c r="Z53" i="43"/>
  <c r="BC36" i="43"/>
  <c r="BC48" i="43"/>
  <c r="AN182" i="43"/>
  <c r="BC44" i="43"/>
  <c r="BD25" i="43"/>
  <c r="BD21" i="43"/>
  <c r="BR183" i="43"/>
  <c r="W72" i="43"/>
  <c r="Y39" i="43"/>
  <c r="Y72" i="43"/>
  <c r="X60" i="43"/>
  <c r="BO266" i="43"/>
  <c r="Z321" i="43"/>
  <c r="T337" i="43"/>
  <c r="BA60" i="43"/>
  <c r="AM267" i="43"/>
  <c r="BM255" i="43"/>
  <c r="AG255" i="43"/>
  <c r="AW255" i="43"/>
  <c r="AA321" i="43"/>
  <c r="Y60" i="43"/>
  <c r="W60" i="43"/>
  <c r="U72" i="43"/>
  <c r="W165" i="43"/>
  <c r="V38" i="43"/>
  <c r="AZ54" i="43"/>
  <c r="BL267" i="43"/>
  <c r="S60" i="43"/>
  <c r="Y255" i="43"/>
  <c r="X72" i="43"/>
  <c r="V72" i="43"/>
  <c r="Z322" i="43"/>
  <c r="AA322" i="43"/>
  <c r="W321" i="43"/>
  <c r="AW54" i="43"/>
  <c r="AX60" i="43"/>
  <c r="BB72" i="43"/>
  <c r="AJ322" i="43"/>
  <c r="AI321" i="43"/>
  <c r="AJ350" i="43"/>
  <c r="BO255" i="43"/>
  <c r="AI309" i="43"/>
  <c r="X288" i="43"/>
  <c r="AA165" i="43"/>
  <c r="V60" i="43"/>
  <c r="Y336" i="43"/>
  <c r="AH322" i="43"/>
  <c r="AH350" i="43"/>
  <c r="AM255" i="43"/>
  <c r="AJ255" i="43"/>
  <c r="AO255" i="43"/>
  <c r="AX254" i="43"/>
  <c r="BC255" i="43"/>
  <c r="AJ165" i="43"/>
  <c r="BC165" i="43"/>
  <c r="V255" i="43"/>
  <c r="Z255" i="43"/>
  <c r="U255" i="43"/>
  <c r="AA255" i="43"/>
  <c r="T60" i="43"/>
  <c r="AA309" i="43"/>
  <c r="Y182" i="43"/>
  <c r="V165" i="43"/>
  <c r="U165" i="43"/>
  <c r="V182" i="43"/>
  <c r="X337" i="43"/>
  <c r="U337" i="43"/>
  <c r="U365" i="43"/>
  <c r="W337" i="43"/>
  <c r="BD255" i="43"/>
  <c r="AA288" i="43"/>
  <c r="AA183" i="43"/>
  <c r="X165" i="43"/>
  <c r="Z183" i="43"/>
  <c r="Y322" i="43"/>
  <c r="AK321" i="43"/>
  <c r="AO288" i="43"/>
  <c r="T365" i="43"/>
  <c r="Y337" i="43"/>
  <c r="Y365" i="43"/>
  <c r="Z337" i="43"/>
  <c r="V365" i="43"/>
  <c r="AA337" i="43"/>
  <c r="AA365" i="43"/>
  <c r="X349" i="43"/>
  <c r="AK349" i="43"/>
  <c r="AH349" i="43"/>
  <c r="AL255" i="43"/>
  <c r="AI255" i="43"/>
  <c r="AK255" i="43"/>
  <c r="AY255" i="43"/>
  <c r="BK255" i="43"/>
  <c r="AY183" i="43"/>
  <c r="AN165" i="43"/>
  <c r="AM165" i="43"/>
  <c r="BA165" i="43"/>
  <c r="BR165" i="43"/>
  <c r="BO165" i="43"/>
  <c r="X309" i="43"/>
  <c r="W255" i="43"/>
  <c r="W309" i="43"/>
  <c r="V183" i="43"/>
  <c r="Z365" i="43"/>
  <c r="AH364" i="43"/>
  <c r="V322" i="43"/>
  <c r="W350" i="43"/>
  <c r="AV255" i="43"/>
  <c r="AL183" i="43"/>
  <c r="BC183" i="43"/>
  <c r="AL182" i="43"/>
  <c r="AY35" i="43"/>
  <c r="AY182" i="43"/>
  <c r="AL165" i="43"/>
  <c r="W182" i="43"/>
  <c r="S255" i="43"/>
  <c r="Y309" i="43"/>
  <c r="Y183" i="43"/>
  <c r="U182" i="43"/>
  <c r="X255" i="43"/>
  <c r="W308" i="43"/>
  <c r="V309" i="43"/>
  <c r="Z308" i="43"/>
  <c r="X182" i="43"/>
  <c r="Y165" i="43"/>
  <c r="W183" i="43"/>
  <c r="V39" i="43"/>
  <c r="T255" i="43"/>
  <c r="Z309" i="43"/>
  <c r="Z165" i="43"/>
  <c r="U183" i="43"/>
  <c r="U39" i="43"/>
  <c r="AA182" i="43"/>
  <c r="Z182" i="43"/>
  <c r="X365" i="43"/>
  <c r="Z336" i="43"/>
  <c r="Z364" i="43"/>
  <c r="AA336" i="43"/>
  <c r="S337" i="43"/>
  <c r="S365" i="43"/>
  <c r="AK337" i="43"/>
  <c r="S322" i="43"/>
  <c r="U321" i="43"/>
  <c r="AO350" i="43"/>
  <c r="AN322" i="43"/>
  <c r="AH255" i="43"/>
  <c r="AN255" i="43"/>
  <c r="BQ255" i="43"/>
  <c r="AZ255" i="43"/>
  <c r="AI165" i="43"/>
  <c r="BD165" i="43"/>
  <c r="AK165" i="43"/>
  <c r="AZ165" i="43"/>
  <c r="BC182" i="43"/>
  <c r="AX165" i="43"/>
  <c r="AY165" i="43"/>
  <c r="X183" i="43"/>
  <c r="V337" i="43"/>
  <c r="W365" i="43"/>
  <c r="AO165" i="43"/>
  <c r="BB165" i="43"/>
  <c r="AO317" i="43"/>
  <c r="Z287" i="43"/>
  <c r="AK308" i="43"/>
  <c r="AL308" i="43"/>
  <c r="AZ53" i="43"/>
  <c r="AZ51" i="43"/>
  <c r="V65" i="43"/>
  <c r="AA296" i="43"/>
  <c r="X287" i="43"/>
  <c r="AN336" i="43"/>
  <c r="AG336" i="43"/>
  <c r="AO299" i="43"/>
  <c r="AO333" i="43"/>
  <c r="AK365" i="43"/>
  <c r="AO358" i="43"/>
  <c r="AL365" i="43"/>
  <c r="AO322" i="43"/>
  <c r="AL349" i="43"/>
  <c r="AY266" i="43"/>
  <c r="AA260" i="43"/>
  <c r="BN254" i="43"/>
  <c r="BM254" i="43"/>
  <c r="BL254" i="43"/>
  <c r="BL182" i="43"/>
  <c r="AO275" i="43"/>
  <c r="AO15" i="43" s="1"/>
  <c r="BM182" i="43"/>
  <c r="BP183" i="43"/>
  <c r="X266" i="43"/>
  <c r="AN308" i="43"/>
  <c r="AN287" i="43"/>
  <c r="AL309" i="43"/>
  <c r="AK287" i="43"/>
  <c r="AN309" i="43"/>
  <c r="U36" i="43"/>
  <c r="W322" i="43"/>
  <c r="AL321" i="43"/>
  <c r="X308" i="43"/>
  <c r="AO283" i="43"/>
  <c r="AK336" i="43"/>
  <c r="AL336" i="43"/>
  <c r="AO330" i="43"/>
  <c r="AO327" i="43"/>
  <c r="AL364" i="43"/>
  <c r="Z349" i="43"/>
  <c r="V350" i="43"/>
  <c r="AM350" i="43"/>
  <c r="V68" i="43"/>
  <c r="AY68" i="43"/>
  <c r="BL255" i="43"/>
  <c r="BR250" i="43"/>
  <c r="BR19" i="43" s="1"/>
  <c r="BQ182" i="43"/>
  <c r="BM183" i="43"/>
  <c r="BQ183" i="43"/>
  <c r="BN182" i="43"/>
  <c r="BO182" i="43"/>
  <c r="BL165" i="43"/>
  <c r="V56" i="43"/>
  <c r="X321" i="43"/>
  <c r="AA345" i="43"/>
  <c r="AO260" i="43"/>
  <c r="AL287" i="43"/>
  <c r="W287" i="43"/>
  <c r="AH309" i="43"/>
  <c r="AK309" i="43"/>
  <c r="AJ309" i="43"/>
  <c r="Y321" i="43"/>
  <c r="AN321" i="43"/>
  <c r="U336" i="43"/>
  <c r="BD15" i="43"/>
  <c r="BD23" i="43"/>
  <c r="AA283" i="43"/>
  <c r="AA299" i="43"/>
  <c r="AH287" i="43"/>
  <c r="AG287" i="43"/>
  <c r="AG288" i="43"/>
  <c r="AO355" i="43"/>
  <c r="AL337" i="43"/>
  <c r="AN364" i="43"/>
  <c r="AO293" i="43"/>
  <c r="AN337" i="43"/>
  <c r="AO361" i="43"/>
  <c r="AK364" i="43"/>
  <c r="AN365" i="43"/>
  <c r="AA350" i="43"/>
  <c r="W349" i="43"/>
  <c r="AO345" i="43"/>
  <c r="BC254" i="43"/>
  <c r="BD250" i="43"/>
  <c r="BP255" i="43"/>
  <c r="BM165" i="43"/>
  <c r="BQ165" i="43"/>
  <c r="BN165" i="43"/>
  <c r="BR182" i="43"/>
  <c r="BP165" i="43"/>
  <c r="U308" i="43"/>
  <c r="AA293" i="43"/>
  <c r="AH266" i="43"/>
  <c r="AH337" i="43"/>
  <c r="S309" i="43"/>
  <c r="T309" i="43"/>
  <c r="S364" i="43"/>
  <c r="T287" i="43"/>
  <c r="T288" i="43"/>
  <c r="T336" i="43"/>
  <c r="S336" i="43"/>
  <c r="AH288" i="43"/>
  <c r="AI336" i="43"/>
  <c r="X336" i="43"/>
  <c r="X364" i="43"/>
  <c r="AJ308" i="43"/>
  <c r="AI308" i="43"/>
  <c r="AN288" i="43"/>
  <c r="AJ364" i="43"/>
  <c r="AI365" i="43"/>
  <c r="AK322" i="43"/>
  <c r="T321" i="43"/>
  <c r="U350" i="43"/>
  <c r="V321" i="43"/>
  <c r="AG322" i="43"/>
  <c r="AJ321" i="43"/>
  <c r="AI322" i="43"/>
  <c r="AH321" i="43"/>
  <c r="AN350" i="43"/>
  <c r="AG349" i="43"/>
  <c r="AK350" i="43"/>
  <c r="BK266" i="43"/>
  <c r="U364" i="43"/>
  <c r="U287" i="43"/>
  <c r="V364" i="43"/>
  <c r="AG308" i="43"/>
  <c r="AI364" i="43"/>
  <c r="AH308" i="43"/>
  <c r="AI337" i="43"/>
  <c r="AJ365" i="43"/>
  <c r="T322" i="43"/>
  <c r="T350" i="43"/>
  <c r="S321" i="43"/>
  <c r="S349" i="43"/>
  <c r="U322" i="43"/>
  <c r="S350" i="43"/>
  <c r="AI349" i="43"/>
  <c r="AJ337" i="43"/>
  <c r="U288" i="43"/>
  <c r="Y287" i="43"/>
  <c r="V287" i="43"/>
  <c r="V288" i="43"/>
  <c r="V308" i="43"/>
  <c r="AJ336" i="43"/>
  <c r="AJ287" i="43"/>
  <c r="AJ288" i="43"/>
  <c r="AJ349" i="43"/>
  <c r="V349" i="43"/>
  <c r="W288" i="43"/>
  <c r="U309" i="43"/>
  <c r="AK288" i="43"/>
  <c r="AL288" i="43"/>
  <c r="S287" i="43"/>
  <c r="S288" i="43"/>
  <c r="S308" i="43"/>
  <c r="AM288" i="43"/>
  <c r="AI287" i="43"/>
  <c r="AI288" i="43"/>
  <c r="AH336" i="43"/>
  <c r="AG364" i="43"/>
  <c r="AG321" i="43"/>
  <c r="T349" i="43"/>
  <c r="AG350" i="43"/>
  <c r="Y267" i="43"/>
  <c r="U267" i="43"/>
  <c r="Z267" i="43"/>
  <c r="W266" i="43"/>
  <c r="U25" i="43"/>
  <c r="AN242" i="43"/>
  <c r="AO242" i="43"/>
  <c r="S241" i="43"/>
  <c r="BP242" i="43"/>
  <c r="AH241" i="43"/>
  <c r="BN241" i="43"/>
  <c r="BR242" i="43"/>
  <c r="BL241" i="43"/>
  <c r="AK254" i="43"/>
  <c r="AH267" i="43"/>
  <c r="AL254" i="43"/>
  <c r="BC266" i="43"/>
  <c r="AJ267" i="43"/>
  <c r="AO267" i="43"/>
  <c r="BA267" i="43"/>
  <c r="BA266" i="43"/>
  <c r="BP267" i="43"/>
  <c r="BR267" i="43"/>
  <c r="BN266" i="43"/>
  <c r="W254" i="43"/>
  <c r="AI241" i="43"/>
  <c r="AL266" i="43"/>
  <c r="AZ267" i="43"/>
  <c r="AZ266" i="43"/>
  <c r="T53" i="43"/>
  <c r="S267" i="43"/>
  <c r="T267" i="43"/>
  <c r="AK266" i="43"/>
  <c r="AN267" i="43"/>
  <c r="AV267" i="43"/>
  <c r="AX267" i="43"/>
  <c r="BQ266" i="43"/>
  <c r="BK267" i="43"/>
  <c r="Z266" i="43"/>
  <c r="X267" i="43"/>
  <c r="T266" i="43"/>
  <c r="AL267" i="43"/>
  <c r="AG267" i="43"/>
  <c r="BC267" i="43"/>
  <c r="BB267" i="43"/>
  <c r="BM267" i="43"/>
  <c r="BJ267" i="43"/>
  <c r="BO267" i="43"/>
  <c r="W267" i="43"/>
  <c r="V267" i="43"/>
  <c r="AA267" i="43"/>
  <c r="AI267" i="43"/>
  <c r="AN266" i="43"/>
  <c r="AY267" i="43"/>
  <c r="AK267" i="43"/>
  <c r="BD267" i="43"/>
  <c r="AW267" i="43"/>
  <c r="BQ267" i="43"/>
  <c r="BN267" i="43"/>
  <c r="AI254" i="43"/>
  <c r="V254" i="43"/>
  <c r="AV266" i="43"/>
  <c r="AI266" i="43"/>
  <c r="AX266" i="43"/>
  <c r="BL266" i="43"/>
  <c r="S266" i="43"/>
  <c r="U266" i="43"/>
  <c r="AG266" i="43"/>
  <c r="AW266" i="43"/>
  <c r="BJ266" i="43"/>
  <c r="V266" i="43"/>
  <c r="BM266" i="43"/>
  <c r="AJ266" i="43"/>
  <c r="U242" i="43"/>
  <c r="AJ241" i="43"/>
  <c r="AV56" i="43"/>
  <c r="AV241" i="43"/>
  <c r="BO254" i="43"/>
  <c r="BJ254" i="43"/>
  <c r="W241" i="43"/>
  <c r="BC241" i="43"/>
  <c r="T242" i="43"/>
  <c r="AV242" i="43"/>
  <c r="BD242" i="43"/>
  <c r="BA241" i="43"/>
  <c r="AK241" i="43"/>
  <c r="AM242" i="43"/>
  <c r="AW65" i="43"/>
  <c r="AW241" i="43"/>
  <c r="AX65" i="43"/>
  <c r="AX241" i="43"/>
  <c r="BM241" i="43"/>
  <c r="BO241" i="43"/>
  <c r="BO242" i="43"/>
  <c r="AN254" i="43"/>
  <c r="AZ254" i="43"/>
  <c r="AY254" i="43"/>
  <c r="AJ254" i="43"/>
  <c r="AV254" i="43"/>
  <c r="AK164" i="43"/>
  <c r="V242" i="43"/>
  <c r="X242" i="43"/>
  <c r="AZ241" i="43"/>
  <c r="AI242" i="43"/>
  <c r="BK242" i="43"/>
  <c r="X254" i="43"/>
  <c r="V44" i="43"/>
  <c r="AX242" i="43"/>
  <c r="W242" i="43"/>
  <c r="X241" i="43"/>
  <c r="Z241" i="43"/>
  <c r="BA242" i="43"/>
  <c r="AZ242" i="43"/>
  <c r="BC242" i="43"/>
  <c r="U241" i="43"/>
  <c r="T241" i="43"/>
  <c r="AG242" i="43"/>
  <c r="AH242" i="43"/>
  <c r="V241" i="43"/>
  <c r="BQ241" i="43"/>
  <c r="AY65" i="43"/>
  <c r="AY241" i="43"/>
  <c r="BM242" i="43"/>
  <c r="BJ242" i="43"/>
  <c r="BJ241" i="43"/>
  <c r="U47" i="43"/>
  <c r="AA242" i="43"/>
  <c r="Z242" i="43"/>
  <c r="Y242" i="43"/>
  <c r="S242" i="43"/>
  <c r="BB242" i="43"/>
  <c r="AW242" i="43"/>
  <c r="AY242" i="43"/>
  <c r="U212" i="43"/>
  <c r="AN241" i="43"/>
  <c r="AK242" i="43"/>
  <c r="AJ242" i="43"/>
  <c r="AL242" i="43"/>
  <c r="AL241" i="43"/>
  <c r="AG241" i="43"/>
  <c r="BL242" i="43"/>
  <c r="BQ242" i="43"/>
  <c r="BN242" i="43"/>
  <c r="BK241" i="43"/>
  <c r="S254" i="43"/>
  <c r="U254" i="43"/>
  <c r="AG254" i="43"/>
  <c r="AW254" i="43"/>
  <c r="BK254" i="43"/>
  <c r="AG164" i="43"/>
  <c r="BD164" i="43"/>
  <c r="T182" i="43"/>
  <c r="AJ164" i="43"/>
  <c r="AH165" i="43"/>
  <c r="BK182" i="43"/>
  <c r="BK183" i="43"/>
  <c r="AA164" i="43"/>
  <c r="W211" i="43"/>
  <c r="W212" i="43"/>
  <c r="T212" i="43"/>
  <c r="S211" i="43"/>
  <c r="V212" i="43"/>
  <c r="AG182" i="43"/>
  <c r="AH164" i="43"/>
  <c r="AL164" i="43"/>
  <c r="AH182" i="43"/>
  <c r="AO164" i="43"/>
  <c r="AH183" i="43"/>
  <c r="T164" i="43"/>
  <c r="BL164" i="43"/>
  <c r="AW164" i="43"/>
  <c r="AV164" i="43"/>
  <c r="AW165" i="43"/>
  <c r="AY164" i="43"/>
  <c r="BO164" i="43"/>
  <c r="BJ165" i="43"/>
  <c r="S35" i="43"/>
  <c r="S182" i="43"/>
  <c r="X164" i="43"/>
  <c r="X45" i="43"/>
  <c r="Y45" i="43"/>
  <c r="X212" i="43"/>
  <c r="X211" i="43"/>
  <c r="AA212" i="43"/>
  <c r="AG183" i="43"/>
  <c r="AX164" i="43"/>
  <c r="AI164" i="43"/>
  <c r="AV165" i="43"/>
  <c r="AZ164" i="43"/>
  <c r="AW35" i="43"/>
  <c r="AW182" i="43"/>
  <c r="BA164" i="43"/>
  <c r="AW183" i="43"/>
  <c r="BR164" i="43"/>
  <c r="BK164" i="43"/>
  <c r="Y36" i="43"/>
  <c r="S36" i="43"/>
  <c r="S183" i="43"/>
  <c r="S165" i="43"/>
  <c r="W164" i="43"/>
  <c r="V41" i="43"/>
  <c r="Z211" i="43"/>
  <c r="T211" i="43"/>
  <c r="U211" i="43"/>
  <c r="S212" i="43"/>
  <c r="V211" i="43"/>
  <c r="V164" i="43"/>
  <c r="S164" i="43"/>
  <c r="T165" i="43"/>
  <c r="U164" i="43"/>
  <c r="AG165" i="43"/>
  <c r="BJ182" i="43"/>
  <c r="BJ164" i="43"/>
  <c r="BK165" i="43"/>
  <c r="BN164" i="43"/>
  <c r="BM164" i="43"/>
  <c r="V59" i="43"/>
  <c r="S71" i="43"/>
  <c r="U59" i="43"/>
  <c r="AY71" i="43"/>
  <c r="AH98" i="43"/>
  <c r="S41" i="43"/>
  <c r="W44" i="43"/>
  <c r="S25" i="43"/>
  <c r="S11" i="43"/>
  <c r="X36" i="43"/>
  <c r="X48" i="43"/>
  <c r="V36" i="43"/>
  <c r="AZ72" i="43"/>
  <c r="X39" i="43"/>
  <c r="V17" i="43"/>
  <c r="V47" i="43"/>
  <c r="AX72" i="43"/>
  <c r="AY60" i="43"/>
  <c r="AZ60" i="43"/>
  <c r="AX54" i="43"/>
  <c r="AY54" i="43"/>
  <c r="AV54" i="43"/>
  <c r="T72" i="43"/>
  <c r="S72" i="43"/>
  <c r="BB54" i="43"/>
  <c r="AW60" i="43"/>
  <c r="U50" i="43"/>
  <c r="AZ50" i="43"/>
  <c r="U17" i="43"/>
  <c r="AX51" i="43"/>
  <c r="AV51" i="43"/>
  <c r="BA54" i="43"/>
  <c r="AY51" i="43"/>
  <c r="AV71" i="43"/>
  <c r="S50" i="43"/>
  <c r="AY72" i="43"/>
  <c r="BA59" i="43"/>
  <c r="AV60" i="43"/>
  <c r="U38" i="43"/>
  <c r="U35" i="43"/>
  <c r="S44" i="43"/>
  <c r="X44" i="43"/>
  <c r="V35" i="43"/>
  <c r="X71" i="43"/>
  <c r="BA71" i="43"/>
  <c r="S48" i="43"/>
  <c r="X23" i="43"/>
  <c r="V42" i="43"/>
  <c r="AW72" i="43"/>
  <c r="Y13" i="43"/>
  <c r="W50" i="43"/>
  <c r="T51" i="43"/>
  <c r="U51" i="43"/>
  <c r="S17" i="43"/>
  <c r="X35" i="43"/>
  <c r="W38" i="43"/>
  <c r="U44" i="43"/>
  <c r="Y38" i="43"/>
  <c r="W35" i="43"/>
  <c r="U41" i="43"/>
  <c r="S45" i="43"/>
  <c r="W41" i="43"/>
  <c r="S47" i="43"/>
  <c r="U45" i="43"/>
  <c r="W48" i="43"/>
  <c r="Y15" i="43"/>
  <c r="V25" i="43"/>
  <c r="W25" i="43"/>
  <c r="U42" i="43"/>
  <c r="W45" i="43"/>
  <c r="W36" i="43"/>
  <c r="V45" i="43"/>
  <c r="BB21" i="43"/>
  <c r="W42" i="43"/>
  <c r="U71" i="43"/>
  <c r="V71" i="43"/>
  <c r="AW53" i="43"/>
  <c r="BA53" i="43"/>
  <c r="AV50" i="43"/>
  <c r="AY47" i="43"/>
  <c r="AY25" i="43"/>
  <c r="AZ25" i="43"/>
  <c r="AV25" i="43"/>
  <c r="AW41" i="43"/>
  <c r="AX25" i="43"/>
  <c r="W17" i="43"/>
  <c r="X17" i="43"/>
  <c r="W47" i="43"/>
  <c r="W15" i="43"/>
  <c r="Y42" i="43"/>
  <c r="Y48" i="43"/>
  <c r="AW51" i="43"/>
  <c r="V50" i="43"/>
  <c r="BB71" i="43"/>
  <c r="AY59" i="43"/>
  <c r="BB59" i="43"/>
  <c r="AX50" i="43"/>
  <c r="BA50" i="43"/>
  <c r="AV53" i="43"/>
  <c r="BA17" i="43"/>
  <c r="AZ15" i="43"/>
  <c r="K22" i="54" s="1"/>
  <c r="AY23" i="43"/>
  <c r="BA25" i="43"/>
  <c r="AV23" i="43"/>
  <c r="AW47" i="43"/>
  <c r="AW23" i="43"/>
  <c r="S42" i="43"/>
  <c r="U48" i="43"/>
  <c r="X25" i="43"/>
  <c r="X42" i="43"/>
  <c r="AA305" i="43"/>
  <c r="AA71" i="43" s="1"/>
  <c r="Y71" i="43"/>
  <c r="AA302" i="43"/>
  <c r="AA59" i="43" s="1"/>
  <c r="Y59" i="43"/>
  <c r="X15" i="43"/>
  <c r="V48" i="43"/>
  <c r="X41" i="43"/>
  <c r="X47" i="43"/>
  <c r="BB51" i="43"/>
  <c r="BA51" i="43"/>
  <c r="BA72" i="43"/>
  <c r="AX71" i="43"/>
  <c r="BB60" i="43"/>
  <c r="AV59" i="43"/>
  <c r="S59" i="43"/>
  <c r="AV72" i="43"/>
  <c r="AX59" i="43"/>
  <c r="AX53" i="43"/>
  <c r="AX23" i="43"/>
  <c r="AV17" i="43"/>
  <c r="BA23" i="43"/>
  <c r="AY41" i="43"/>
  <c r="AX17" i="43"/>
  <c r="AW25" i="43"/>
  <c r="BA15" i="43"/>
  <c r="L22" i="54" s="1"/>
  <c r="AW17" i="43"/>
  <c r="W23" i="43"/>
  <c r="X59" i="43"/>
  <c r="AY50" i="43"/>
  <c r="AX15" i="43"/>
  <c r="AY15" i="43"/>
  <c r="AY17" i="43"/>
  <c r="AV15" i="43"/>
  <c r="AV41" i="43"/>
  <c r="AV47" i="43"/>
  <c r="AZ17" i="43"/>
  <c r="K23" i="54" s="1"/>
  <c r="AZ23" i="43"/>
  <c r="AW15" i="43"/>
  <c r="AX41" i="43"/>
  <c r="AX47" i="43"/>
  <c r="X13" i="43"/>
  <c r="W54" i="43"/>
  <c r="W53" i="43"/>
  <c r="X51" i="43"/>
  <c r="S54" i="43"/>
  <c r="Y51" i="43"/>
  <c r="S51" i="43"/>
  <c r="V54" i="43"/>
  <c r="U53" i="43"/>
  <c r="X50" i="43"/>
  <c r="G33" i="51"/>
  <c r="AX11" i="43"/>
  <c r="BA13" i="43"/>
  <c r="BA19" i="43"/>
  <c r="AY19" i="43"/>
  <c r="AX13" i="43"/>
  <c r="AV19" i="43"/>
  <c r="AY13" i="43"/>
  <c r="AW19" i="43"/>
  <c r="X19" i="43"/>
  <c r="X11" i="43"/>
  <c r="V13" i="43"/>
  <c r="S21" i="43"/>
  <c r="T54" i="43"/>
  <c r="U54" i="43"/>
  <c r="W51" i="43"/>
  <c r="S53" i="43"/>
  <c r="AW21" i="43"/>
  <c r="L33" i="51"/>
  <c r="AX19" i="43"/>
  <c r="AY21" i="43"/>
  <c r="BB13" i="43"/>
  <c r="AV21" i="43"/>
  <c r="U13" i="43"/>
  <c r="U21" i="43"/>
  <c r="Y21" i="43"/>
  <c r="W13" i="43"/>
  <c r="V21" i="43"/>
  <c r="S13" i="43"/>
  <c r="W21" i="43"/>
  <c r="W11" i="43"/>
  <c r="X21" i="43"/>
  <c r="X54" i="43"/>
  <c r="Y54" i="43"/>
  <c r="V53" i="43"/>
  <c r="X53" i="43"/>
  <c r="BR260" i="43"/>
  <c r="AX21" i="43"/>
  <c r="K33" i="51"/>
  <c r="H33" i="51"/>
  <c r="AZ13" i="43"/>
  <c r="AW11" i="43"/>
  <c r="AZ21" i="43"/>
  <c r="AV11" i="43"/>
  <c r="AW13" i="43"/>
  <c r="BA21" i="43"/>
  <c r="AY11" i="43"/>
  <c r="V51" i="43"/>
  <c r="BD260" i="43"/>
  <c r="AY53" i="43"/>
  <c r="AZ19" i="43"/>
  <c r="AV13" i="43"/>
  <c r="AZ11" i="43"/>
  <c r="BA11" i="43"/>
  <c r="AY45" i="43"/>
  <c r="T15" i="43"/>
  <c r="T38" i="43"/>
  <c r="S23" i="43"/>
  <c r="T45" i="43"/>
  <c r="AY39" i="43"/>
  <c r="U19" i="43"/>
  <c r="T39" i="43"/>
  <c r="AY42" i="43"/>
  <c r="V23" i="43"/>
  <c r="AW45" i="43"/>
  <c r="BA35" i="43"/>
  <c r="BA41" i="43"/>
  <c r="BA44" i="43"/>
  <c r="BA47" i="43"/>
  <c r="AW42" i="43"/>
  <c r="T19" i="43"/>
  <c r="T36" i="43"/>
  <c r="T13" i="43"/>
  <c r="AY48" i="43"/>
  <c r="U23" i="43"/>
  <c r="T11" i="43"/>
  <c r="T25" i="43"/>
  <c r="AZ36" i="43"/>
  <c r="AZ39" i="43"/>
  <c r="AZ42" i="43"/>
  <c r="AZ45" i="43"/>
  <c r="AZ48" i="43"/>
  <c r="AV36" i="43"/>
  <c r="AV39" i="43"/>
  <c r="AV42" i="43"/>
  <c r="AV45" i="43"/>
  <c r="AV48" i="43"/>
  <c r="AX36" i="43"/>
  <c r="AX39" i="43"/>
  <c r="AX42" i="43"/>
  <c r="AX45" i="43"/>
  <c r="AX48" i="43"/>
  <c r="AW48" i="43"/>
  <c r="W19" i="43"/>
  <c r="T23" i="43"/>
  <c r="T48" i="43"/>
  <c r="S15" i="43"/>
  <c r="T35" i="43"/>
  <c r="U11" i="43"/>
  <c r="T21" i="43"/>
  <c r="V15" i="43"/>
  <c r="T44" i="43"/>
  <c r="BA36" i="43"/>
  <c r="BA39" i="43"/>
  <c r="BA42" i="43"/>
  <c r="BA45" i="43"/>
  <c r="BA48" i="43"/>
  <c r="BB36" i="43"/>
  <c r="BB39" i="43"/>
  <c r="BB42" i="43"/>
  <c r="BB45" i="43"/>
  <c r="BB48" i="43"/>
  <c r="AY36" i="43"/>
  <c r="V11" i="43"/>
  <c r="T17" i="43"/>
  <c r="S19" i="43"/>
  <c r="T47" i="43"/>
  <c r="U15" i="43"/>
  <c r="T41" i="43"/>
  <c r="V19" i="43"/>
  <c r="T42" i="43"/>
  <c r="AZ35" i="43"/>
  <c r="AZ41" i="43"/>
  <c r="AZ44" i="43"/>
  <c r="AZ47" i="43"/>
  <c r="AW39" i="43"/>
  <c r="AW36" i="43"/>
  <c r="BB17" i="43"/>
  <c r="AV35" i="43"/>
  <c r="AX35" i="43"/>
  <c r="K11" i="66"/>
  <c r="K15" i="66" s="1"/>
  <c r="BB53" i="43"/>
  <c r="L11" i="66"/>
  <c r="L15" i="66" s="1"/>
  <c r="K22" i="60" s="1"/>
  <c r="J26" i="66"/>
  <c r="J27" i="66" s="1"/>
  <c r="H11" i="66"/>
  <c r="Y91" i="43"/>
  <c r="J11" i="66"/>
  <c r="N11" i="66"/>
  <c r="N15" i="66" s="1"/>
  <c r="N18" i="66" s="1"/>
  <c r="I11" i="66"/>
  <c r="I27" i="66"/>
  <c r="G27" i="66"/>
  <c r="H27" i="66"/>
  <c r="T59" i="43"/>
  <c r="T71" i="43"/>
  <c r="AW59" i="43"/>
  <c r="AW71" i="43"/>
  <c r="BB68" i="43"/>
  <c r="BB44" i="43"/>
  <c r="Y65" i="43"/>
  <c r="Y44" i="43"/>
  <c r="Y56" i="43"/>
  <c r="Y47" i="43"/>
  <c r="Y53" i="43"/>
  <c r="M33" i="51"/>
  <c r="Z152" i="43"/>
  <c r="Z15" i="43" s="1"/>
  <c r="Y23" i="43"/>
  <c r="BB19" i="43"/>
  <c r="BB23" i="43"/>
  <c r="Z156" i="43"/>
  <c r="Z19" i="43" s="1"/>
  <c r="AO279" i="43"/>
  <c r="AO23" i="43" s="1"/>
  <c r="BD86" i="43"/>
  <c r="AO86" i="43"/>
  <c r="BL98" i="43"/>
  <c r="BR86" i="43"/>
  <c r="BJ98" i="43"/>
  <c r="BK98" i="43"/>
  <c r="AI98" i="43"/>
  <c r="BP254" i="43"/>
  <c r="T364" i="43"/>
  <c r="AM364" i="43"/>
  <c r="BB254" i="43"/>
  <c r="AM254" i="43"/>
  <c r="AY98" i="43"/>
  <c r="BD91" i="43"/>
  <c r="BM98" i="43"/>
  <c r="AM96" i="43"/>
  <c r="AO91" i="43"/>
  <c r="AX98" i="43"/>
  <c r="BB96" i="43"/>
  <c r="BR91" i="43"/>
  <c r="AG98" i="43"/>
  <c r="AV98" i="43"/>
  <c r="BB47" i="43"/>
  <c r="BN77" i="43" l="1"/>
  <c r="BO77" i="43"/>
  <c r="BP51" i="43"/>
  <c r="BP77" i="43" s="1"/>
  <c r="BR75" i="43"/>
  <c r="BQ75" i="43"/>
  <c r="BL75" i="43"/>
  <c r="BM75" i="43"/>
  <c r="BQ77" i="43"/>
  <c r="BP75" i="43"/>
  <c r="BR211" i="43"/>
  <c r="BN75" i="43"/>
  <c r="BP74" i="43"/>
  <c r="BP365" i="43"/>
  <c r="BR353" i="43"/>
  <c r="BR365" i="43" s="1"/>
  <c r="BP337" i="43"/>
  <c r="BR325" i="43"/>
  <c r="BJ75" i="43"/>
  <c r="BP76" i="43"/>
  <c r="BO76" i="43"/>
  <c r="BQ76" i="43"/>
  <c r="BK75" i="43"/>
  <c r="BM77" i="43"/>
  <c r="BN76" i="43"/>
  <c r="BN78" i="43" s="1"/>
  <c r="BO74" i="43"/>
  <c r="AO19" i="43"/>
  <c r="O33" i="51" s="1"/>
  <c r="BJ77" i="43"/>
  <c r="BJ74" i="43"/>
  <c r="BJ78" i="43" s="1"/>
  <c r="BM74" i="43"/>
  <c r="BM78" i="43" s="1"/>
  <c r="BK74" i="43"/>
  <c r="BK78" i="43" s="1"/>
  <c r="BL74" i="43"/>
  <c r="BL78" i="43" s="1"/>
  <c r="O33" i="58"/>
  <c r="BD19" i="43"/>
  <c r="L18" i="66"/>
  <c r="I22" i="60" s="1"/>
  <c r="K18" i="66"/>
  <c r="I21" i="60" s="1"/>
  <c r="F10" i="72"/>
  <c r="G10" i="72" s="1"/>
  <c r="H10" i="72"/>
  <c r="AA341" i="43"/>
  <c r="Y349" i="43"/>
  <c r="AO324" i="43"/>
  <c r="AO336" i="43" s="1"/>
  <c r="AM336" i="43"/>
  <c r="AA290" i="43"/>
  <c r="Y308" i="43"/>
  <c r="AO353" i="43"/>
  <c r="AO365" i="43" s="1"/>
  <c r="AM365" i="43"/>
  <c r="AO341" i="43"/>
  <c r="AO349" i="43" s="1"/>
  <c r="AM349" i="43"/>
  <c r="AM287" i="43"/>
  <c r="AO271" i="43"/>
  <c r="AO325" i="43"/>
  <c r="AO337" i="43" s="1"/>
  <c r="AM337" i="43"/>
  <c r="AA364" i="43"/>
  <c r="Y364" i="43"/>
  <c r="AO313" i="43"/>
  <c r="AO321" i="43" s="1"/>
  <c r="AM321" i="43"/>
  <c r="AM266" i="43"/>
  <c r="AM164" i="43"/>
  <c r="BB266" i="43"/>
  <c r="BD232" i="43"/>
  <c r="BD53" i="43" s="1"/>
  <c r="BP266" i="43"/>
  <c r="AM241" i="43"/>
  <c r="BP241" i="43"/>
  <c r="BP164" i="43"/>
  <c r="BB164" i="43"/>
  <c r="BP90" i="43"/>
  <c r="BB90" i="43"/>
  <c r="Y90" i="43"/>
  <c r="M13" i="66" s="1"/>
  <c r="AM90" i="43"/>
  <c r="AJ98" i="43"/>
  <c r="N23" i="54"/>
  <c r="H33" i="58"/>
  <c r="I33" i="58"/>
  <c r="J12" i="54"/>
  <c r="J22" i="54"/>
  <c r="K33" i="58"/>
  <c r="L33" i="58"/>
  <c r="K12" i="54"/>
  <c r="L12" i="54"/>
  <c r="G22" i="54"/>
  <c r="H23" i="54"/>
  <c r="I23" i="54"/>
  <c r="M23" i="54"/>
  <c r="H12" i="54"/>
  <c r="M12" i="54"/>
  <c r="O12" i="54"/>
  <c r="I12" i="54"/>
  <c r="J23" i="54"/>
  <c r="O22" i="54"/>
  <c r="G33" i="58"/>
  <c r="J33" i="58"/>
  <c r="N12" i="54"/>
  <c r="H22" i="54"/>
  <c r="I22" i="54"/>
  <c r="L23" i="54"/>
  <c r="BB11" i="43"/>
  <c r="AW50" i="43"/>
  <c r="BB50" i="43"/>
  <c r="BB15" i="43"/>
  <c r="M11" i="66"/>
  <c r="M26" i="66"/>
  <c r="AO305" i="43"/>
  <c r="AO71" i="43" s="1"/>
  <c r="AO302" i="43"/>
  <c r="AO59" i="43" s="1"/>
  <c r="AO306" i="43"/>
  <c r="AO72" i="43" s="1"/>
  <c r="AO263" i="43"/>
  <c r="AO68" i="43" s="1"/>
  <c r="BR263" i="43"/>
  <c r="BR68" i="43" s="1"/>
  <c r="BD263" i="43"/>
  <c r="BD68" i="43" s="1"/>
  <c r="BD226" i="43"/>
  <c r="BD47" i="43" s="1"/>
  <c r="BR220" i="43"/>
  <c r="BR41" i="43" s="1"/>
  <c r="AO235" i="43"/>
  <c r="AO56" i="43" s="1"/>
  <c r="AA232" i="43"/>
  <c r="AA53" i="43" s="1"/>
  <c r="BR235" i="43"/>
  <c r="BR56" i="43" s="1"/>
  <c r="AO238" i="43"/>
  <c r="AO65" i="43" s="1"/>
  <c r="AA235" i="43"/>
  <c r="AA56" i="43" s="1"/>
  <c r="AO220" i="43"/>
  <c r="BR232" i="43"/>
  <c r="BR53" i="43" s="1"/>
  <c r="BD223" i="43"/>
  <c r="BR226" i="43"/>
  <c r="BR47" i="43" s="1"/>
  <c r="BR238" i="43"/>
  <c r="BR65" i="43" s="1"/>
  <c r="AO223" i="43"/>
  <c r="AO44" i="43" s="1"/>
  <c r="AA229" i="43"/>
  <c r="BR229" i="43"/>
  <c r="BR217" i="43"/>
  <c r="BR38" i="43" s="1"/>
  <c r="AO226" i="43"/>
  <c r="AO47" i="43" s="1"/>
  <c r="AA223" i="43"/>
  <c r="AA44" i="43" s="1"/>
  <c r="AA226" i="43"/>
  <c r="AA47" i="43" s="1"/>
  <c r="BR223" i="43"/>
  <c r="BR44" i="43" s="1"/>
  <c r="AO232" i="43"/>
  <c r="AO53" i="43" s="1"/>
  <c r="BD229" i="43"/>
  <c r="AO229" i="43"/>
  <c r="AA238" i="43"/>
  <c r="AA65" i="43" s="1"/>
  <c r="BC152" i="43"/>
  <c r="BC15" i="43" s="1"/>
  <c r="BQ160" i="43"/>
  <c r="BQ23" i="43" s="1"/>
  <c r="BC160" i="43"/>
  <c r="BC23" i="43" s="1"/>
  <c r="BQ152" i="43"/>
  <c r="BQ15" i="43" s="1"/>
  <c r="Z160" i="43"/>
  <c r="Z23" i="43" s="1"/>
  <c r="AN152" i="43"/>
  <c r="AN15" i="43" s="1"/>
  <c r="BC148" i="43"/>
  <c r="BC11" i="43" s="1"/>
  <c r="BQ156" i="43"/>
  <c r="BQ19" i="43" s="1"/>
  <c r="M33" i="58"/>
  <c r="BC156" i="43"/>
  <c r="BC19" i="43" s="1"/>
  <c r="AN160" i="43"/>
  <c r="AN23" i="43" s="1"/>
  <c r="AN156" i="43"/>
  <c r="AN19" i="43" s="1"/>
  <c r="AO352" i="43"/>
  <c r="AO364" i="43" s="1"/>
  <c r="AO214" i="43"/>
  <c r="AO35" i="43" s="1"/>
  <c r="AO257" i="43"/>
  <c r="BR246" i="43"/>
  <c r="AN148" i="43"/>
  <c r="AN11" i="43" s="1"/>
  <c r="AO246" i="43"/>
  <c r="BR257" i="43"/>
  <c r="BD246" i="43"/>
  <c r="BQ148" i="43"/>
  <c r="BQ11" i="43" s="1"/>
  <c r="BD257" i="43"/>
  <c r="BR93" i="43"/>
  <c r="BR96" i="43" s="1"/>
  <c r="BD82" i="43"/>
  <c r="BD90" i="43" s="1"/>
  <c r="BD93" i="43"/>
  <c r="BD96" i="43" s="1"/>
  <c r="BR82" i="43"/>
  <c r="BR90" i="43" s="1"/>
  <c r="AO82" i="43"/>
  <c r="AO90" i="43" s="1"/>
  <c r="AO93" i="43"/>
  <c r="AO96" i="43" s="1"/>
  <c r="AX75" i="43"/>
  <c r="AN75" i="43"/>
  <c r="AK74" i="43"/>
  <c r="BA76" i="43"/>
  <c r="AW75" i="43"/>
  <c r="AZ75" i="43"/>
  <c r="BD75" i="43"/>
  <c r="BB75" i="43"/>
  <c r="BC76" i="43"/>
  <c r="AY76" i="43"/>
  <c r="BA75" i="43"/>
  <c r="AY75" i="43"/>
  <c r="AW74" i="43"/>
  <c r="AV76" i="43"/>
  <c r="AX74" i="43"/>
  <c r="BA74" i="43"/>
  <c r="AY74" i="43"/>
  <c r="AV75" i="43"/>
  <c r="AZ76" i="43"/>
  <c r="BC75" i="43"/>
  <c r="AZ74" i="43"/>
  <c r="AV74" i="43"/>
  <c r="AX76" i="43"/>
  <c r="AH75" i="43"/>
  <c r="AJ75" i="43"/>
  <c r="AI75" i="43"/>
  <c r="AJ76" i="43"/>
  <c r="AK75" i="43"/>
  <c r="AH74" i="43"/>
  <c r="AI74" i="43"/>
  <c r="AG74" i="43"/>
  <c r="AJ74" i="43"/>
  <c r="AG75" i="43"/>
  <c r="AH76" i="43"/>
  <c r="AI76" i="43"/>
  <c r="AG76" i="43"/>
  <c r="AN76" i="43"/>
  <c r="AK76" i="43"/>
  <c r="X76" i="43"/>
  <c r="U76" i="43"/>
  <c r="AL74" i="43"/>
  <c r="AL75" i="43"/>
  <c r="AO75" i="43"/>
  <c r="AM75" i="43"/>
  <c r="AL76" i="43"/>
  <c r="S74" i="43"/>
  <c r="S76" i="43"/>
  <c r="W76" i="43"/>
  <c r="Z76" i="43"/>
  <c r="AA75" i="43"/>
  <c r="X74" i="43"/>
  <c r="V76" i="43"/>
  <c r="T75" i="43"/>
  <c r="U75" i="43"/>
  <c r="W74" i="43"/>
  <c r="V74" i="43"/>
  <c r="W75" i="43"/>
  <c r="V75" i="43"/>
  <c r="S75" i="43"/>
  <c r="T74" i="43"/>
  <c r="Z75" i="43"/>
  <c r="Y75" i="43"/>
  <c r="U74" i="43"/>
  <c r="X75" i="43"/>
  <c r="AO303" i="43"/>
  <c r="AO60" i="43" s="1"/>
  <c r="BP78" i="43" l="1"/>
  <c r="BR337" i="43"/>
  <c r="BR51" i="43"/>
  <c r="BR77" i="43" s="1"/>
  <c r="BO78" i="43"/>
  <c r="AO11" i="43"/>
  <c r="N33" i="51"/>
  <c r="BR254" i="43"/>
  <c r="BR11" i="43"/>
  <c r="BR74" i="43" s="1"/>
  <c r="BQ74" i="43"/>
  <c r="BQ78" i="43" s="1"/>
  <c r="BR50" i="43"/>
  <c r="BR76" i="43" s="1"/>
  <c r="BD50" i="43"/>
  <c r="AO287" i="43"/>
  <c r="BD11" i="43"/>
  <c r="AA308" i="43"/>
  <c r="AA349" i="43"/>
  <c r="K10" i="72"/>
  <c r="M10" i="72"/>
  <c r="O10" i="72"/>
  <c r="Q10" i="72"/>
  <c r="N10" i="72"/>
  <c r="J10" i="72"/>
  <c r="S10" i="72"/>
  <c r="L10" i="72"/>
  <c r="R10" i="72"/>
  <c r="P10" i="72"/>
  <c r="AO266" i="43"/>
  <c r="BR266" i="43"/>
  <c r="M15" i="66"/>
  <c r="M18" i="66" s="1"/>
  <c r="BD266" i="43"/>
  <c r="BD44" i="43" s="1"/>
  <c r="BD254" i="43"/>
  <c r="AO241" i="43"/>
  <c r="AO254" i="43"/>
  <c r="BR241" i="43"/>
  <c r="BC164" i="43"/>
  <c r="BQ164" i="43"/>
  <c r="AN74" i="43"/>
  <c r="AN78" i="43" s="1"/>
  <c r="AN164" i="43"/>
  <c r="O26" i="66"/>
  <c r="AA97" i="43"/>
  <c r="O11" i="66"/>
  <c r="AA91" i="43"/>
  <c r="AM98" i="43"/>
  <c r="AO98" i="43"/>
  <c r="BP98" i="43"/>
  <c r="BB98" i="43"/>
  <c r="AW76" i="43"/>
  <c r="AW78" i="43" s="1"/>
  <c r="M22" i="54"/>
  <c r="BR98" i="43"/>
  <c r="BD98" i="43"/>
  <c r="AV78" i="43"/>
  <c r="BA78" i="43"/>
  <c r="AZ78" i="43"/>
  <c r="AJ78" i="43"/>
  <c r="AH78" i="43"/>
  <c r="AY78" i="43"/>
  <c r="AX78" i="43"/>
  <c r="AL78" i="43"/>
  <c r="AI78" i="43"/>
  <c r="AK78" i="43"/>
  <c r="S78" i="43"/>
  <c r="AG78" i="43"/>
  <c r="U78" i="43"/>
  <c r="X78" i="43"/>
  <c r="V78" i="43"/>
  <c r="W78" i="43"/>
  <c r="AM74" i="43"/>
  <c r="BR78" i="43" l="1"/>
  <c r="U10" i="72"/>
  <c r="T50" i="43"/>
  <c r="T308" i="43"/>
  <c r="BC74" i="43"/>
  <c r="BC78" i="43" s="1"/>
  <c r="N33" i="58"/>
  <c r="N22" i="54"/>
  <c r="AO74" i="43"/>
  <c r="T76" i="43" l="1"/>
  <c r="T78" i="43" s="1"/>
  <c r="AA73" i="43"/>
  <c r="Z73" i="43"/>
  <c r="Y73" i="43"/>
  <c r="X73" i="43"/>
  <c r="W73" i="43"/>
  <c r="V73" i="43"/>
  <c r="U73" i="43"/>
  <c r="T73" i="43"/>
  <c r="S73" i="43"/>
  <c r="AA70" i="43"/>
  <c r="Z70" i="43"/>
  <c r="Y70" i="43"/>
  <c r="X70" i="43"/>
  <c r="W70" i="43"/>
  <c r="V70" i="43"/>
  <c r="U70" i="43"/>
  <c r="T70" i="43"/>
  <c r="S70" i="43"/>
  <c r="AA67" i="43"/>
  <c r="Z67" i="43"/>
  <c r="Y67" i="43"/>
  <c r="X67" i="43"/>
  <c r="W67" i="43"/>
  <c r="V67" i="43"/>
  <c r="U67" i="43"/>
  <c r="T67" i="43"/>
  <c r="S67" i="43"/>
  <c r="AA61" i="43"/>
  <c r="Z61" i="43"/>
  <c r="Y61" i="43"/>
  <c r="X61" i="43"/>
  <c r="W61" i="43"/>
  <c r="V61" i="43"/>
  <c r="U61" i="43"/>
  <c r="T61" i="43"/>
  <c r="S61" i="43"/>
  <c r="AA58" i="43"/>
  <c r="Z58" i="43"/>
  <c r="Y58" i="43"/>
  <c r="X58" i="43"/>
  <c r="W58" i="43"/>
  <c r="V58" i="43"/>
  <c r="U58" i="43"/>
  <c r="T58" i="43"/>
  <c r="S58" i="43"/>
  <c r="AA55" i="43"/>
  <c r="Z55" i="43"/>
  <c r="Y55" i="43"/>
  <c r="X55" i="43"/>
  <c r="W55" i="43"/>
  <c r="V55" i="43"/>
  <c r="U55" i="43"/>
  <c r="T55" i="43"/>
  <c r="S55" i="43"/>
  <c r="AA52" i="43"/>
  <c r="Z52" i="43"/>
  <c r="Y52" i="43"/>
  <c r="X52" i="43"/>
  <c r="W52" i="43"/>
  <c r="V52" i="43"/>
  <c r="U52" i="43"/>
  <c r="T52" i="43"/>
  <c r="S52" i="43"/>
  <c r="AA49" i="43"/>
  <c r="Z49" i="43"/>
  <c r="Y49" i="43"/>
  <c r="X49" i="43"/>
  <c r="W49" i="43"/>
  <c r="V49" i="43"/>
  <c r="U49" i="43"/>
  <c r="T49" i="43"/>
  <c r="S49" i="43"/>
  <c r="AA46" i="43"/>
  <c r="Z46" i="43"/>
  <c r="Y46" i="43"/>
  <c r="X46" i="43"/>
  <c r="W46" i="43"/>
  <c r="V46" i="43"/>
  <c r="U46" i="43"/>
  <c r="T46" i="43"/>
  <c r="S46" i="43"/>
  <c r="AA43" i="43"/>
  <c r="Z43" i="43"/>
  <c r="Y43" i="43"/>
  <c r="X43" i="43"/>
  <c r="W43" i="43"/>
  <c r="V43" i="43"/>
  <c r="U43" i="43"/>
  <c r="T43" i="43"/>
  <c r="S43" i="43"/>
  <c r="AA40" i="43"/>
  <c r="Z40" i="43"/>
  <c r="Y40" i="43"/>
  <c r="X40" i="43"/>
  <c r="W40" i="43"/>
  <c r="V40" i="43"/>
  <c r="U40" i="43"/>
  <c r="T40" i="43"/>
  <c r="S40" i="43"/>
  <c r="AA32" i="43"/>
  <c r="Z32" i="43"/>
  <c r="Y32" i="43"/>
  <c r="X32" i="43"/>
  <c r="W32" i="43"/>
  <c r="V32" i="43"/>
  <c r="U32" i="43"/>
  <c r="T32" i="43"/>
  <c r="S32" i="43"/>
  <c r="AA28" i="43"/>
  <c r="Z28" i="43"/>
  <c r="Y28" i="43"/>
  <c r="X28" i="43"/>
  <c r="W28" i="43"/>
  <c r="V28" i="43"/>
  <c r="U28" i="43"/>
  <c r="T28" i="43"/>
  <c r="S28" i="43"/>
  <c r="AA24" i="43"/>
  <c r="Z24" i="43"/>
  <c r="Y24" i="43"/>
  <c r="X24" i="43"/>
  <c r="W24" i="43"/>
  <c r="V24" i="43"/>
  <c r="U24" i="43"/>
  <c r="T24" i="43"/>
  <c r="S24" i="43"/>
  <c r="AA20" i="43"/>
  <c r="Z20" i="43"/>
  <c r="Y20" i="43"/>
  <c r="X20" i="43"/>
  <c r="W20" i="43"/>
  <c r="V20" i="43"/>
  <c r="U20" i="43"/>
  <c r="T20" i="43"/>
  <c r="S20" i="43"/>
  <c r="AA16" i="43"/>
  <c r="Z16" i="43"/>
  <c r="Y16" i="43"/>
  <c r="X16" i="43"/>
  <c r="W16" i="43"/>
  <c r="V16" i="43"/>
  <c r="U16" i="43"/>
  <c r="T16" i="43"/>
  <c r="S16" i="43"/>
  <c r="AA12" i="43"/>
  <c r="Y12" i="43"/>
  <c r="X12" i="43"/>
  <c r="W12" i="43"/>
  <c r="V12" i="43"/>
  <c r="U12" i="43"/>
  <c r="T12" i="43"/>
  <c r="S12" i="43"/>
  <c r="E60" i="34" l="1"/>
  <c r="E47" i="34"/>
  <c r="E44" i="34"/>
  <c r="E45" i="34"/>
  <c r="E43" i="34"/>
  <c r="H25" i="58"/>
  <c r="I25" i="58"/>
  <c r="J25" i="58"/>
  <c r="L25" i="58"/>
  <c r="M25" i="58"/>
  <c r="N25" i="58"/>
  <c r="O25" i="58"/>
  <c r="G25" i="58"/>
  <c r="H25" i="54"/>
  <c r="I25" i="54"/>
  <c r="J25" i="54"/>
  <c r="L25" i="54"/>
  <c r="M25" i="54"/>
  <c r="N25" i="54"/>
  <c r="O25" i="54"/>
  <c r="G25" i="54"/>
  <c r="H25" i="51"/>
  <c r="I25" i="51"/>
  <c r="J25" i="51"/>
  <c r="L25" i="51"/>
  <c r="M25" i="51"/>
  <c r="N25" i="51"/>
  <c r="O25" i="51"/>
  <c r="G25" i="51"/>
  <c r="AA34" i="43"/>
  <c r="Z34" i="43"/>
  <c r="Y34" i="43"/>
  <c r="X34" i="43"/>
  <c r="W34" i="43"/>
  <c r="H25" i="47"/>
  <c r="I25" i="47"/>
  <c r="J25" i="47"/>
  <c r="L25" i="47"/>
  <c r="M25" i="47"/>
  <c r="N25" i="47"/>
  <c r="O25" i="47"/>
  <c r="G25" i="47"/>
  <c r="AA30" i="43"/>
  <c r="Z30" i="43"/>
  <c r="Y30" i="43"/>
  <c r="X30" i="43"/>
  <c r="W30" i="43"/>
  <c r="AA26" i="43"/>
  <c r="Z26" i="43"/>
  <c r="Y26" i="43"/>
  <c r="X26" i="43"/>
  <c r="W26" i="43"/>
  <c r="AA18" i="43"/>
  <c r="Z18" i="43"/>
  <c r="Y18" i="43"/>
  <c r="X18" i="43"/>
  <c r="W18" i="43"/>
  <c r="W14" i="43"/>
  <c r="O69" i="58" l="1"/>
  <c r="N69" i="58"/>
  <c r="M69" i="58"/>
  <c r="L69" i="58"/>
  <c r="K69" i="58"/>
  <c r="J69" i="58"/>
  <c r="I69" i="58"/>
  <c r="H69" i="58"/>
  <c r="G69" i="58"/>
  <c r="O69" i="54"/>
  <c r="N69" i="54"/>
  <c r="M69" i="54"/>
  <c r="L69" i="54"/>
  <c r="K69" i="54"/>
  <c r="J69" i="54"/>
  <c r="I69" i="54"/>
  <c r="H69" i="54"/>
  <c r="G69" i="54"/>
  <c r="O69" i="51"/>
  <c r="N69" i="51"/>
  <c r="M69" i="51"/>
  <c r="L69" i="51"/>
  <c r="K69" i="51"/>
  <c r="J69" i="51"/>
  <c r="I69" i="51"/>
  <c r="H69" i="51"/>
  <c r="G69" i="51"/>
  <c r="O69" i="47"/>
  <c r="N69" i="47"/>
  <c r="M69" i="47"/>
  <c r="L69" i="47"/>
  <c r="K69" i="47"/>
  <c r="J69" i="47"/>
  <c r="I69" i="47"/>
  <c r="H69" i="47"/>
  <c r="G69" i="47"/>
  <c r="AH34" i="43" l="1"/>
  <c r="AH26" i="43"/>
  <c r="AH18" i="43"/>
  <c r="AH30" i="43"/>
  <c r="H57" i="51" s="1"/>
  <c r="AH14" i="43"/>
  <c r="BK34" i="43"/>
  <c r="BK26" i="43"/>
  <c r="BK18" i="43"/>
  <c r="BK30" i="43"/>
  <c r="BK14" i="43"/>
  <c r="AW30" i="43"/>
  <c r="AW18" i="43"/>
  <c r="AW26" i="43"/>
  <c r="AW14" i="43"/>
  <c r="AW34" i="43"/>
  <c r="H12" i="66"/>
  <c r="H15" i="66" s="1"/>
  <c r="H18" i="66" s="1"/>
  <c r="I20" i="60" s="1"/>
  <c r="T34" i="43"/>
  <c r="T26" i="43"/>
  <c r="T30" i="43"/>
  <c r="T18" i="43"/>
  <c r="O68" i="58"/>
  <c r="O67" i="58"/>
  <c r="N67" i="58"/>
  <c r="M67" i="58"/>
  <c r="L67" i="58"/>
  <c r="K67" i="58"/>
  <c r="J67" i="58"/>
  <c r="I67" i="58"/>
  <c r="H67" i="58"/>
  <c r="G67" i="58"/>
  <c r="N66" i="58"/>
  <c r="L66" i="58"/>
  <c r="K66" i="58"/>
  <c r="H57" i="58"/>
  <c r="O56" i="58"/>
  <c r="N56" i="58"/>
  <c r="M56" i="58"/>
  <c r="L56" i="58"/>
  <c r="K56" i="58"/>
  <c r="J56" i="58"/>
  <c r="I56" i="58"/>
  <c r="H56" i="58"/>
  <c r="G56" i="58"/>
  <c r="N55" i="58"/>
  <c r="L55" i="58"/>
  <c r="K55" i="58"/>
  <c r="O46" i="58"/>
  <c r="N45" i="58"/>
  <c r="L45" i="58"/>
  <c r="K45" i="58"/>
  <c r="L44" i="58"/>
  <c r="K44" i="58"/>
  <c r="O34" i="58"/>
  <c r="N34" i="58"/>
  <c r="M34" i="58"/>
  <c r="L34" i="58"/>
  <c r="K34" i="58"/>
  <c r="O23" i="58"/>
  <c r="N23" i="58"/>
  <c r="M23" i="58"/>
  <c r="L23" i="58"/>
  <c r="K23" i="58"/>
  <c r="L22" i="58"/>
  <c r="K22" i="58"/>
  <c r="N12" i="58"/>
  <c r="L12" i="58"/>
  <c r="K12" i="58"/>
  <c r="L11" i="58"/>
  <c r="K11" i="58"/>
  <c r="O67" i="54"/>
  <c r="N67" i="54"/>
  <c r="M67" i="54"/>
  <c r="L67" i="54"/>
  <c r="K67" i="54"/>
  <c r="J67" i="54"/>
  <c r="I67" i="54"/>
  <c r="H67" i="54"/>
  <c r="G67" i="54"/>
  <c r="N66" i="54"/>
  <c r="L66" i="54"/>
  <c r="K66" i="54"/>
  <c r="O57" i="54"/>
  <c r="H57" i="54"/>
  <c r="O56" i="54"/>
  <c r="N56" i="54"/>
  <c r="M56" i="54"/>
  <c r="L56" i="54"/>
  <c r="K56" i="54"/>
  <c r="J56" i="54"/>
  <c r="I56" i="54"/>
  <c r="H56" i="54"/>
  <c r="G56" i="54"/>
  <c r="N55" i="54"/>
  <c r="L55" i="54"/>
  <c r="K55" i="54"/>
  <c r="N45" i="54"/>
  <c r="L45" i="54"/>
  <c r="K45" i="54"/>
  <c r="L44" i="54"/>
  <c r="K44" i="54"/>
  <c r="O34" i="54"/>
  <c r="N34" i="54"/>
  <c r="M34" i="54"/>
  <c r="K34" i="54"/>
  <c r="K33" i="54"/>
  <c r="L11" i="54"/>
  <c r="K11" i="54"/>
  <c r="O67" i="51"/>
  <c r="N67" i="51"/>
  <c r="L67" i="51"/>
  <c r="J67" i="51"/>
  <c r="H67" i="51"/>
  <c r="N66" i="51"/>
  <c r="K66" i="51"/>
  <c r="N56" i="51"/>
  <c r="M56" i="51"/>
  <c r="L56" i="51"/>
  <c r="J56" i="51"/>
  <c r="I56" i="51"/>
  <c r="H56" i="51"/>
  <c r="G56" i="51"/>
  <c r="N55" i="51"/>
  <c r="L55" i="51"/>
  <c r="K55" i="51"/>
  <c r="N45" i="51"/>
  <c r="L45" i="51"/>
  <c r="K45" i="51"/>
  <c r="O34" i="51"/>
  <c r="N34" i="51"/>
  <c r="M34" i="51"/>
  <c r="L34" i="51"/>
  <c r="K34" i="51"/>
  <c r="O23" i="51"/>
  <c r="N23" i="51"/>
  <c r="M23" i="51"/>
  <c r="L23" i="51"/>
  <c r="K23" i="51"/>
  <c r="L22" i="51"/>
  <c r="K22" i="51"/>
  <c r="N12" i="51"/>
  <c r="K12" i="51"/>
  <c r="L11" i="51"/>
  <c r="K11" i="51"/>
  <c r="L66" i="51"/>
  <c r="I67" i="51"/>
  <c r="K67" i="51"/>
  <c r="M67" i="51"/>
  <c r="G67" i="51"/>
  <c r="K56" i="51"/>
  <c r="O56" i="51"/>
  <c r="H68" i="58"/>
  <c r="L68" i="58"/>
  <c r="M68" i="58"/>
  <c r="N68" i="58"/>
  <c r="L57" i="58"/>
  <c r="M57" i="58"/>
  <c r="N57" i="58"/>
  <c r="O57" i="58"/>
  <c r="H46" i="58"/>
  <c r="L46" i="58"/>
  <c r="M46" i="58"/>
  <c r="N46" i="58"/>
  <c r="L57" i="54"/>
  <c r="M57" i="54"/>
  <c r="N57" i="54"/>
  <c r="H68" i="54"/>
  <c r="L68" i="54"/>
  <c r="M68" i="54"/>
  <c r="N68" i="54"/>
  <c r="O68" i="54"/>
  <c r="L44" i="51" l="1"/>
  <c r="K44" i="51"/>
  <c r="O105" i="59" l="1"/>
  <c r="N105" i="59"/>
  <c r="M105" i="59"/>
  <c r="L105" i="59"/>
  <c r="K105" i="59"/>
  <c r="J105" i="59"/>
  <c r="I105" i="59"/>
  <c r="H105" i="59"/>
  <c r="G105" i="59"/>
  <c r="O102" i="59"/>
  <c r="N102" i="59"/>
  <c r="M102" i="59"/>
  <c r="L102" i="59"/>
  <c r="K102" i="59"/>
  <c r="J102" i="59"/>
  <c r="I102" i="59"/>
  <c r="H102" i="59"/>
  <c r="G102" i="59"/>
  <c r="N101" i="59"/>
  <c r="L101" i="59"/>
  <c r="K101" i="59"/>
  <c r="O105" i="55"/>
  <c r="N105" i="55"/>
  <c r="M105" i="55"/>
  <c r="L105" i="55"/>
  <c r="K105" i="55"/>
  <c r="J105" i="55"/>
  <c r="I105" i="55"/>
  <c r="H105" i="55"/>
  <c r="G105" i="55"/>
  <c r="O102" i="55"/>
  <c r="N102" i="55"/>
  <c r="M102" i="55"/>
  <c r="L102" i="55"/>
  <c r="K102" i="55"/>
  <c r="J102" i="55"/>
  <c r="I102" i="55"/>
  <c r="H102" i="55"/>
  <c r="G102" i="55"/>
  <c r="N101" i="55"/>
  <c r="L101" i="55"/>
  <c r="K101" i="55"/>
  <c r="O105" i="52"/>
  <c r="N105" i="52"/>
  <c r="M105" i="52"/>
  <c r="L105" i="52"/>
  <c r="K105" i="52"/>
  <c r="J105" i="52"/>
  <c r="I105" i="52"/>
  <c r="H105" i="52"/>
  <c r="G105" i="52"/>
  <c r="O102" i="52"/>
  <c r="N102" i="52"/>
  <c r="M102" i="52"/>
  <c r="L102" i="52"/>
  <c r="K102" i="52"/>
  <c r="J102" i="52"/>
  <c r="I102" i="52"/>
  <c r="H102" i="52"/>
  <c r="G102" i="52"/>
  <c r="N101" i="52"/>
  <c r="L101" i="52"/>
  <c r="K101" i="52"/>
  <c r="AA14" i="43"/>
  <c r="Y14" i="43"/>
  <c r="X14" i="43"/>
  <c r="T14" i="43"/>
  <c r="H105" i="49" l="1"/>
  <c r="I105" i="49"/>
  <c r="J105" i="49"/>
  <c r="K105" i="49"/>
  <c r="L105" i="49"/>
  <c r="M105" i="49"/>
  <c r="N105" i="49"/>
  <c r="O105" i="49"/>
  <c r="G105" i="49"/>
  <c r="G102" i="49"/>
  <c r="H102" i="49"/>
  <c r="I102" i="49"/>
  <c r="J102" i="49"/>
  <c r="K102" i="49"/>
  <c r="L102" i="49"/>
  <c r="M102" i="49"/>
  <c r="N102" i="49"/>
  <c r="O102" i="49"/>
  <c r="K101" i="49"/>
  <c r="L101" i="49"/>
  <c r="N101" i="49"/>
  <c r="K67" i="47"/>
  <c r="L67" i="47"/>
  <c r="O67" i="47"/>
  <c r="K66" i="47"/>
  <c r="N66" i="47"/>
  <c r="K56" i="47"/>
  <c r="L56" i="47"/>
  <c r="O56" i="47"/>
  <c r="K55" i="47"/>
  <c r="N55" i="47"/>
  <c r="K45" i="47"/>
  <c r="L45" i="47"/>
  <c r="K44" i="47"/>
  <c r="O34" i="47"/>
  <c r="G28" i="47"/>
  <c r="K23" i="47"/>
  <c r="L23" i="47"/>
  <c r="O23" i="47"/>
  <c r="K22" i="47"/>
  <c r="J34" i="58"/>
  <c r="I34" i="58"/>
  <c r="G34" i="58"/>
  <c r="J23" i="58"/>
  <c r="I23" i="58"/>
  <c r="G23" i="58"/>
  <c r="L12" i="51"/>
  <c r="AI307" i="43"/>
  <c r="AI304" i="43"/>
  <c r="AI301" i="43"/>
  <c r="AI298" i="43"/>
  <c r="AI292" i="43"/>
  <c r="J34" i="51"/>
  <c r="J23" i="51"/>
  <c r="I23" i="51"/>
  <c r="G23" i="51"/>
  <c r="L34" i="54"/>
  <c r="I34" i="54"/>
  <c r="G34" i="54"/>
  <c r="G23" i="54"/>
  <c r="J66" i="58"/>
  <c r="I66" i="58"/>
  <c r="H66" i="58"/>
  <c r="G66" i="58"/>
  <c r="N44" i="58"/>
  <c r="H34" i="58"/>
  <c r="H23" i="58"/>
  <c r="N22" i="58"/>
  <c r="I45" i="58"/>
  <c r="H45" i="58"/>
  <c r="G45" i="58"/>
  <c r="J44" i="58"/>
  <c r="I44" i="58"/>
  <c r="H44" i="58"/>
  <c r="J22" i="58"/>
  <c r="I22" i="58"/>
  <c r="G22" i="58"/>
  <c r="J12" i="58"/>
  <c r="I12" i="58"/>
  <c r="H12" i="58"/>
  <c r="G12" i="58"/>
  <c r="I55" i="58"/>
  <c r="G55" i="58"/>
  <c r="I11" i="58"/>
  <c r="G11" i="58"/>
  <c r="BB65" i="43"/>
  <c r="J66" i="54"/>
  <c r="I66" i="54"/>
  <c r="H66" i="54"/>
  <c r="G66" i="54"/>
  <c r="N106" i="49" l="1"/>
  <c r="L106" i="49"/>
  <c r="K106" i="49"/>
  <c r="AM308" i="43"/>
  <c r="AV77" i="43"/>
  <c r="U77" i="43"/>
  <c r="AJ77" i="43"/>
  <c r="BA77" i="43"/>
  <c r="AA77" i="43"/>
  <c r="BD238" i="43"/>
  <c r="BD65" i="43" s="1"/>
  <c r="H11" i="58"/>
  <c r="H55" i="58"/>
  <c r="J34" i="54"/>
  <c r="G34" i="51"/>
  <c r="I101" i="59"/>
  <c r="M45" i="58"/>
  <c r="J45" i="58"/>
  <c r="J11" i="58"/>
  <c r="J55" i="58"/>
  <c r="J101" i="59"/>
  <c r="G44" i="58"/>
  <c r="I34" i="51"/>
  <c r="H22" i="58"/>
  <c r="AO296" i="43"/>
  <c r="AO50" i="43" s="1"/>
  <c r="BB41" i="43"/>
  <c r="M66" i="58"/>
  <c r="M66" i="54"/>
  <c r="M12" i="58"/>
  <c r="BB56" i="43"/>
  <c r="H101" i="59"/>
  <c r="AO290" i="43"/>
  <c r="AO41" i="43" s="1"/>
  <c r="M55" i="58"/>
  <c r="G101" i="59"/>
  <c r="M44" i="58"/>
  <c r="N11" i="58"/>
  <c r="O45" i="58"/>
  <c r="C2" i="61"/>
  <c r="AM76" i="43" l="1"/>
  <c r="AM78" i="43" s="1"/>
  <c r="AO308" i="43"/>
  <c r="AM309" i="43"/>
  <c r="BB35" i="43"/>
  <c r="BB76" i="43" s="1"/>
  <c r="BB241" i="43"/>
  <c r="AO297" i="43"/>
  <c r="AO51" i="43" s="1"/>
  <c r="T77" i="43"/>
  <c r="AW77" i="43"/>
  <c r="AH77" i="43"/>
  <c r="AG77" i="43"/>
  <c r="BD77" i="43"/>
  <c r="V77" i="43"/>
  <c r="AL77" i="43"/>
  <c r="BB77" i="43"/>
  <c r="AX77" i="43"/>
  <c r="Z77" i="43"/>
  <c r="AY77" i="43"/>
  <c r="X77" i="43"/>
  <c r="AK77" i="43"/>
  <c r="AZ77" i="43"/>
  <c r="BC77" i="43"/>
  <c r="AI77" i="43"/>
  <c r="AN77" i="43"/>
  <c r="Y77" i="43"/>
  <c r="W77" i="43"/>
  <c r="S77" i="43"/>
  <c r="L33" i="54"/>
  <c r="BD220" i="43"/>
  <c r="BD41" i="43" s="1"/>
  <c r="M11" i="58"/>
  <c r="O12" i="58"/>
  <c r="O55" i="58"/>
  <c r="M101" i="59"/>
  <c r="O44" i="58"/>
  <c r="O22" i="58"/>
  <c r="M22" i="58"/>
  <c r="O101" i="59"/>
  <c r="O66" i="58"/>
  <c r="BD235" i="43"/>
  <c r="BD56" i="43" s="1"/>
  <c r="O66" i="54"/>
  <c r="BD214" i="43"/>
  <c r="BD35" i="43" s="1"/>
  <c r="AM77" i="43" l="1"/>
  <c r="AO76" i="43"/>
  <c r="AO78" i="43" s="1"/>
  <c r="AO309" i="43"/>
  <c r="BD76" i="43"/>
  <c r="BD241" i="43"/>
  <c r="BD74" i="43"/>
  <c r="BB74" i="43"/>
  <c r="BB78" i="43" s="1"/>
  <c r="O33" i="54"/>
  <c r="O11" i="58"/>
  <c r="AO77" i="43" l="1"/>
  <c r="BD78" i="43"/>
  <c r="N44" i="54"/>
  <c r="H34" i="54"/>
  <c r="J45" i="54"/>
  <c r="I45" i="54"/>
  <c r="H45" i="54"/>
  <c r="G45" i="54"/>
  <c r="J44" i="54"/>
  <c r="I44" i="54"/>
  <c r="H44" i="54"/>
  <c r="G44" i="54"/>
  <c r="G12" i="54"/>
  <c r="J55" i="54"/>
  <c r="H55" i="54"/>
  <c r="G55" i="54"/>
  <c r="H11" i="54"/>
  <c r="G11" i="54"/>
  <c r="H72" i="58"/>
  <c r="I72" i="58"/>
  <c r="J72" i="58"/>
  <c r="K72" i="58"/>
  <c r="L72" i="58"/>
  <c r="M72" i="58"/>
  <c r="N72" i="58"/>
  <c r="O72" i="58"/>
  <c r="H61" i="58"/>
  <c r="I61" i="58"/>
  <c r="J61" i="58"/>
  <c r="K61" i="58"/>
  <c r="L61" i="58"/>
  <c r="M61" i="58"/>
  <c r="N61" i="58"/>
  <c r="O61" i="58"/>
  <c r="H50" i="58"/>
  <c r="I50" i="58"/>
  <c r="J50" i="58"/>
  <c r="K50" i="58"/>
  <c r="L50" i="58"/>
  <c r="M50" i="58"/>
  <c r="N50" i="58"/>
  <c r="O50" i="58"/>
  <c r="H39" i="58"/>
  <c r="I39" i="58"/>
  <c r="J39" i="58"/>
  <c r="K39" i="58"/>
  <c r="L39" i="58"/>
  <c r="M39" i="58"/>
  <c r="N39" i="58"/>
  <c r="O39" i="58"/>
  <c r="H28" i="58"/>
  <c r="I28" i="58"/>
  <c r="J28" i="58"/>
  <c r="K28" i="58"/>
  <c r="L28" i="58"/>
  <c r="M28" i="58"/>
  <c r="N28" i="58"/>
  <c r="O28" i="58"/>
  <c r="H17" i="58"/>
  <c r="I17" i="58"/>
  <c r="J17" i="58"/>
  <c r="K17" i="58"/>
  <c r="L17" i="58"/>
  <c r="M17" i="58"/>
  <c r="N17" i="58"/>
  <c r="O17" i="58"/>
  <c r="G72" i="58"/>
  <c r="G61" i="58"/>
  <c r="G50" i="58"/>
  <c r="G39" i="58"/>
  <c r="G28" i="58"/>
  <c r="G17" i="58"/>
  <c r="G28" i="54"/>
  <c r="H72" i="54"/>
  <c r="I72" i="54"/>
  <c r="J72" i="54"/>
  <c r="K72" i="54"/>
  <c r="L72" i="54"/>
  <c r="M72" i="54"/>
  <c r="N72" i="54"/>
  <c r="O72" i="54"/>
  <c r="H61" i="54"/>
  <c r="I61" i="54"/>
  <c r="J61" i="54"/>
  <c r="K61" i="54"/>
  <c r="L61" i="54"/>
  <c r="M61" i="54"/>
  <c r="N61" i="54"/>
  <c r="O61" i="54"/>
  <c r="H50" i="54"/>
  <c r="I50" i="54"/>
  <c r="J50" i="54"/>
  <c r="K50" i="54"/>
  <c r="L50" i="54"/>
  <c r="M50" i="54"/>
  <c r="N50" i="54"/>
  <c r="O50" i="54"/>
  <c r="H39" i="54"/>
  <c r="I39" i="54"/>
  <c r="J39" i="54"/>
  <c r="K39" i="54"/>
  <c r="L39" i="54"/>
  <c r="M39" i="54"/>
  <c r="N39" i="54"/>
  <c r="O39" i="54"/>
  <c r="H28" i="54"/>
  <c r="I28" i="54"/>
  <c r="J28" i="54"/>
  <c r="K28" i="54"/>
  <c r="L28" i="54"/>
  <c r="M28" i="54"/>
  <c r="N28" i="54"/>
  <c r="O28" i="54"/>
  <c r="H17" i="54"/>
  <c r="I17" i="54"/>
  <c r="J17" i="54"/>
  <c r="K17" i="54"/>
  <c r="L17" i="54"/>
  <c r="M17" i="54"/>
  <c r="N17" i="54"/>
  <c r="O17" i="54"/>
  <c r="G72" i="54"/>
  <c r="G61" i="54"/>
  <c r="G50" i="54"/>
  <c r="G39" i="54"/>
  <c r="G17" i="54"/>
  <c r="J66" i="51"/>
  <c r="I66" i="51"/>
  <c r="H66" i="51"/>
  <c r="G66" i="51"/>
  <c r="H34" i="51"/>
  <c r="H23" i="51"/>
  <c r="N22" i="51"/>
  <c r="J45" i="51"/>
  <c r="I45" i="51"/>
  <c r="H45" i="51"/>
  <c r="G45" i="51"/>
  <c r="I22" i="51"/>
  <c r="H22" i="51"/>
  <c r="J12" i="51"/>
  <c r="I12" i="51"/>
  <c r="H12" i="51"/>
  <c r="G12" i="51"/>
  <c r="J55" i="51"/>
  <c r="I55" i="51"/>
  <c r="G55" i="51"/>
  <c r="G11" i="51"/>
  <c r="G72" i="51"/>
  <c r="H61" i="51"/>
  <c r="I61" i="51"/>
  <c r="J61" i="51"/>
  <c r="K61" i="51"/>
  <c r="L61" i="51"/>
  <c r="M61" i="51"/>
  <c r="N61" i="51"/>
  <c r="O61" i="51"/>
  <c r="H50" i="51"/>
  <c r="I50" i="51"/>
  <c r="J50" i="51"/>
  <c r="K50" i="51"/>
  <c r="L50" i="51"/>
  <c r="M50" i="51"/>
  <c r="N50" i="51"/>
  <c r="O50" i="51"/>
  <c r="G50" i="51"/>
  <c r="H39" i="51"/>
  <c r="I39" i="51"/>
  <c r="J39" i="51"/>
  <c r="K39" i="51"/>
  <c r="L39" i="51"/>
  <c r="M39" i="51"/>
  <c r="N39" i="51"/>
  <c r="O39" i="51"/>
  <c r="G39" i="51"/>
  <c r="G28" i="51"/>
  <c r="H28" i="51"/>
  <c r="I28" i="51"/>
  <c r="J28" i="51"/>
  <c r="K28" i="51"/>
  <c r="L28" i="51"/>
  <c r="M28" i="51"/>
  <c r="N28" i="51"/>
  <c r="O28" i="51"/>
  <c r="H17" i="51"/>
  <c r="I17" i="51"/>
  <c r="J17" i="51"/>
  <c r="K17" i="51"/>
  <c r="L17" i="51"/>
  <c r="M17" i="51"/>
  <c r="N17" i="51"/>
  <c r="O17" i="51"/>
  <c r="G17" i="51"/>
  <c r="G61" i="51"/>
  <c r="G61" i="47"/>
  <c r="H61" i="47"/>
  <c r="I61" i="47"/>
  <c r="J61" i="47"/>
  <c r="K61" i="47"/>
  <c r="L61" i="47"/>
  <c r="M61" i="47"/>
  <c r="N61" i="47"/>
  <c r="O61" i="47"/>
  <c r="O24" i="58"/>
  <c r="N24" i="58"/>
  <c r="M24" i="58"/>
  <c r="L24" i="58"/>
  <c r="K24" i="58"/>
  <c r="H24" i="58"/>
  <c r="O13" i="58"/>
  <c r="N13" i="58"/>
  <c r="M13" i="58"/>
  <c r="L13" i="58"/>
  <c r="H13" i="58"/>
  <c r="O13" i="54"/>
  <c r="N13" i="54"/>
  <c r="M13" i="54"/>
  <c r="L13" i="54"/>
  <c r="H13" i="54"/>
  <c r="O68" i="51"/>
  <c r="N68" i="51"/>
  <c r="M68" i="51"/>
  <c r="L68" i="51"/>
  <c r="H68" i="51"/>
  <c r="O72" i="51"/>
  <c r="N72" i="51"/>
  <c r="M72" i="51"/>
  <c r="L72" i="51"/>
  <c r="K72" i="51"/>
  <c r="J72" i="51"/>
  <c r="I72" i="51"/>
  <c r="H72" i="51"/>
  <c r="O24" i="51"/>
  <c r="N24" i="51"/>
  <c r="M24" i="51"/>
  <c r="L24" i="51"/>
  <c r="K24" i="51"/>
  <c r="H24" i="51"/>
  <c r="O13" i="51"/>
  <c r="N13" i="51"/>
  <c r="M13" i="51"/>
  <c r="L13" i="51"/>
  <c r="H13" i="51"/>
  <c r="H72" i="47"/>
  <c r="I72" i="47"/>
  <c r="J72" i="47"/>
  <c r="K72" i="47"/>
  <c r="L72" i="47"/>
  <c r="M72" i="47"/>
  <c r="N72" i="47"/>
  <c r="O72" i="47"/>
  <c r="G72" i="47"/>
  <c r="H50" i="47"/>
  <c r="I50" i="47"/>
  <c r="J50" i="47"/>
  <c r="K50" i="47"/>
  <c r="L50" i="47"/>
  <c r="M50" i="47"/>
  <c r="N50" i="47"/>
  <c r="O50" i="47"/>
  <c r="G50" i="47"/>
  <c r="H39" i="47"/>
  <c r="I39" i="47"/>
  <c r="J39" i="47"/>
  <c r="K39" i="47"/>
  <c r="L39" i="47"/>
  <c r="M39" i="47"/>
  <c r="N39" i="47"/>
  <c r="O39" i="47"/>
  <c r="G39" i="47"/>
  <c r="H28" i="47"/>
  <c r="I28" i="47"/>
  <c r="J28" i="47"/>
  <c r="K28" i="47"/>
  <c r="L28" i="47"/>
  <c r="M28" i="47"/>
  <c r="N28" i="47"/>
  <c r="O28" i="47"/>
  <c r="H17" i="47"/>
  <c r="I17" i="47"/>
  <c r="J17" i="47"/>
  <c r="K17" i="47"/>
  <c r="L17" i="47"/>
  <c r="M17" i="47"/>
  <c r="N17" i="47"/>
  <c r="O17" i="47"/>
  <c r="G17" i="47"/>
  <c r="AA271" i="43"/>
  <c r="O68" i="47"/>
  <c r="N68" i="47"/>
  <c r="M68" i="47"/>
  <c r="L68" i="47"/>
  <c r="H68" i="47"/>
  <c r="O57" i="47"/>
  <c r="N57" i="47"/>
  <c r="M57" i="47"/>
  <c r="L57" i="47"/>
  <c r="H57" i="47"/>
  <c r="O46" i="47"/>
  <c r="N46" i="47"/>
  <c r="M46" i="47"/>
  <c r="L46" i="47"/>
  <c r="H46" i="47"/>
  <c r="O24" i="47"/>
  <c r="N24" i="47"/>
  <c r="M24" i="47"/>
  <c r="L24" i="47"/>
  <c r="K24" i="47"/>
  <c r="H24" i="47"/>
  <c r="O13" i="47"/>
  <c r="N13" i="47"/>
  <c r="M13" i="47"/>
  <c r="L13" i="47"/>
  <c r="H13" i="47"/>
  <c r="AA275" i="43" l="1"/>
  <c r="AA15" i="43" s="1"/>
  <c r="H44" i="51"/>
  <c r="J33" i="54"/>
  <c r="H11" i="51"/>
  <c r="H55" i="51"/>
  <c r="I44" i="51"/>
  <c r="I11" i="54"/>
  <c r="I55" i="54"/>
  <c r="G33" i="54"/>
  <c r="I11" i="51"/>
  <c r="J22" i="51"/>
  <c r="J44" i="51"/>
  <c r="J11" i="54"/>
  <c r="H33" i="54"/>
  <c r="J11" i="51"/>
  <c r="G22" i="51"/>
  <c r="G101" i="55"/>
  <c r="I33" i="54"/>
  <c r="N44" i="51"/>
  <c r="H101" i="52"/>
  <c r="H101" i="55"/>
  <c r="I101" i="52"/>
  <c r="M66" i="51"/>
  <c r="I101" i="55"/>
  <c r="M44" i="54"/>
  <c r="M45" i="54"/>
  <c r="G101" i="52"/>
  <c r="J101" i="52"/>
  <c r="M55" i="54"/>
  <c r="J101" i="55"/>
  <c r="O46" i="51"/>
  <c r="N24" i="54"/>
  <c r="L46" i="54"/>
  <c r="H46" i="51"/>
  <c r="L46" i="51"/>
  <c r="K24" i="54"/>
  <c r="O24" i="54"/>
  <c r="M46" i="54"/>
  <c r="M46" i="51"/>
  <c r="H24" i="54"/>
  <c r="L24" i="54"/>
  <c r="N46" i="54"/>
  <c r="H46" i="54"/>
  <c r="N46" i="51"/>
  <c r="M24" i="54"/>
  <c r="O46" i="54"/>
  <c r="M45" i="51"/>
  <c r="N11" i="54"/>
  <c r="M12" i="51"/>
  <c r="L22" i="47"/>
  <c r="L44" i="47"/>
  <c r="L55" i="47"/>
  <c r="L66" i="47"/>
  <c r="N67" i="47"/>
  <c r="M67" i="47"/>
  <c r="N56" i="47"/>
  <c r="M56" i="47"/>
  <c r="H56" i="47"/>
  <c r="I56" i="47"/>
  <c r="J56" i="47"/>
  <c r="H67" i="47"/>
  <c r="I67" i="47"/>
  <c r="J67" i="47"/>
  <c r="H66" i="47"/>
  <c r="I66" i="47"/>
  <c r="J66" i="47"/>
  <c r="N45" i="47"/>
  <c r="N23" i="47"/>
  <c r="M23" i="47"/>
  <c r="AA287" i="43" l="1"/>
  <c r="G44" i="51"/>
  <c r="M33" i="54"/>
  <c r="O55" i="54"/>
  <c r="O55" i="51"/>
  <c r="M55" i="51"/>
  <c r="O11" i="54"/>
  <c r="M11" i="54"/>
  <c r="M101" i="55"/>
  <c r="M11" i="51"/>
  <c r="O22" i="51"/>
  <c r="M22" i="51"/>
  <c r="O44" i="54"/>
  <c r="O45" i="54"/>
  <c r="N11" i="51"/>
  <c r="O66" i="51"/>
  <c r="M101" i="52"/>
  <c r="M66" i="47"/>
  <c r="O45" i="51"/>
  <c r="O12" i="51"/>
  <c r="Y211" i="43"/>
  <c r="K33" i="47"/>
  <c r="L33" i="47"/>
  <c r="K34" i="47"/>
  <c r="K12" i="47"/>
  <c r="K11" i="47"/>
  <c r="N34" i="47"/>
  <c r="M34" i="47"/>
  <c r="I45" i="47"/>
  <c r="J45" i="47"/>
  <c r="I23" i="47"/>
  <c r="J23" i="47"/>
  <c r="G23" i="47"/>
  <c r="G56" i="47"/>
  <c r="G67" i="47"/>
  <c r="L11" i="47"/>
  <c r="G66" i="47"/>
  <c r="W98" i="43"/>
  <c r="X98" i="43"/>
  <c r="Z98" i="43"/>
  <c r="H55" i="47"/>
  <c r="I55" i="47"/>
  <c r="J55" i="47"/>
  <c r="U307" i="43"/>
  <c r="Y50" i="43" l="1"/>
  <c r="AA246" i="43"/>
  <c r="AA11" i="43" s="1"/>
  <c r="AA195" i="43"/>
  <c r="N44" i="47"/>
  <c r="N22" i="47"/>
  <c r="O11" i="51"/>
  <c r="N33" i="54"/>
  <c r="O101" i="55"/>
  <c r="M44" i="51"/>
  <c r="O44" i="51"/>
  <c r="O101" i="52"/>
  <c r="J33" i="47"/>
  <c r="G101" i="49"/>
  <c r="G106" i="49" s="1"/>
  <c r="H33" i="47"/>
  <c r="G34" i="47"/>
  <c r="J34" i="47"/>
  <c r="J11" i="47"/>
  <c r="G12" i="47"/>
  <c r="G33" i="47"/>
  <c r="I34" i="47"/>
  <c r="G45" i="47"/>
  <c r="G11" i="47"/>
  <c r="H22" i="47"/>
  <c r="J44" i="47"/>
  <c r="H101" i="49"/>
  <c r="H106" i="49" s="1"/>
  <c r="L34" i="47"/>
  <c r="I11" i="47"/>
  <c r="H11" i="47"/>
  <c r="G22" i="47"/>
  <c r="M25" i="66"/>
  <c r="M30" i="66" s="1"/>
  <c r="J101" i="49"/>
  <c r="J106" i="49" s="1"/>
  <c r="J12" i="47"/>
  <c r="I44" i="47"/>
  <c r="G55" i="47"/>
  <c r="I22" i="47"/>
  <c r="I33" i="47"/>
  <c r="G44" i="47"/>
  <c r="I101" i="49"/>
  <c r="I106" i="49" s="1"/>
  <c r="J22" i="47"/>
  <c r="I12" i="47"/>
  <c r="H44" i="47"/>
  <c r="L12" i="47"/>
  <c r="M45" i="47"/>
  <c r="Y41" i="43"/>
  <c r="Y68" i="43"/>
  <c r="O66" i="47"/>
  <c r="M12" i="47"/>
  <c r="N12" i="47"/>
  <c r="AA250" i="43"/>
  <c r="U98" i="43"/>
  <c r="T98" i="43"/>
  <c r="C2" i="60"/>
  <c r="D60" i="34" s="1"/>
  <c r="H45" i="47"/>
  <c r="H34" i="47"/>
  <c r="H23" i="47"/>
  <c r="H12" i="47"/>
  <c r="AA19" i="43" l="1"/>
  <c r="AA211" i="43"/>
  <c r="Y266" i="43"/>
  <c r="Y35" i="43"/>
  <c r="Y241" i="43"/>
  <c r="Y254" i="43"/>
  <c r="AA254" i="43"/>
  <c r="Y11" i="43"/>
  <c r="Y164" i="43"/>
  <c r="V98" i="43"/>
  <c r="S98" i="43"/>
  <c r="Y19" i="43"/>
  <c r="M27" i="66"/>
  <c r="Z148" i="43"/>
  <c r="Z11" i="43" s="1"/>
  <c r="M44" i="47"/>
  <c r="M101" i="49"/>
  <c r="M106" i="49" s="1"/>
  <c r="M55" i="47"/>
  <c r="AA93" i="43"/>
  <c r="M22" i="47"/>
  <c r="O45" i="47"/>
  <c r="AA263" i="43"/>
  <c r="AA68" i="43" s="1"/>
  <c r="AA220" i="43"/>
  <c r="AA41" i="43" s="1"/>
  <c r="O12" i="47"/>
  <c r="AA214" i="43"/>
  <c r="AA35" i="43" s="1"/>
  <c r="AA86" i="43"/>
  <c r="Y76" i="43" l="1"/>
  <c r="AA241" i="43"/>
  <c r="M11" i="47"/>
  <c r="Z164" i="43"/>
  <c r="O25" i="66"/>
  <c r="O30" i="66" s="1"/>
  <c r="AA96" i="43"/>
  <c r="Y98" i="43"/>
  <c r="M33" i="47"/>
  <c r="AA74" i="43"/>
  <c r="Y74" i="43"/>
  <c r="O101" i="49"/>
  <c r="O106" i="49" s="1"/>
  <c r="N33" i="47"/>
  <c r="O44" i="47"/>
  <c r="O22" i="47"/>
  <c r="O55" i="47"/>
  <c r="O58" i="58"/>
  <c r="N58" i="58"/>
  <c r="M58" i="58"/>
  <c r="L58" i="58"/>
  <c r="K58" i="58"/>
  <c r="J58" i="58"/>
  <c r="I58" i="58"/>
  <c r="H58" i="58"/>
  <c r="G58" i="58"/>
  <c r="O47" i="58"/>
  <c r="N47" i="58"/>
  <c r="M47" i="58"/>
  <c r="L47" i="58"/>
  <c r="K47" i="58"/>
  <c r="J47" i="58"/>
  <c r="I47" i="58"/>
  <c r="H47" i="58"/>
  <c r="G47" i="58"/>
  <c r="O14" i="58"/>
  <c r="N14" i="58"/>
  <c r="M14" i="58"/>
  <c r="L14" i="58"/>
  <c r="K14" i="58"/>
  <c r="J14" i="58"/>
  <c r="I14" i="58"/>
  <c r="H14" i="58"/>
  <c r="G14" i="58"/>
  <c r="O58" i="54"/>
  <c r="N58" i="54"/>
  <c r="M58" i="54"/>
  <c r="L58" i="54"/>
  <c r="K58" i="54"/>
  <c r="J58" i="54"/>
  <c r="I58" i="54"/>
  <c r="H58" i="54"/>
  <c r="G58" i="54"/>
  <c r="O47" i="54"/>
  <c r="N47" i="54"/>
  <c r="M47" i="54"/>
  <c r="L47" i="54"/>
  <c r="K47" i="54"/>
  <c r="J47" i="54"/>
  <c r="I47" i="54"/>
  <c r="H47" i="54"/>
  <c r="G47" i="54"/>
  <c r="O14" i="54"/>
  <c r="N14" i="54"/>
  <c r="M14" i="54"/>
  <c r="L14" i="54"/>
  <c r="K14" i="54"/>
  <c r="J14" i="54"/>
  <c r="I14" i="54"/>
  <c r="H14" i="54"/>
  <c r="G14" i="54"/>
  <c r="O58" i="51"/>
  <c r="N58" i="51"/>
  <c r="M58" i="51"/>
  <c r="L58" i="51"/>
  <c r="K58" i="51"/>
  <c r="J58" i="51"/>
  <c r="I58" i="51"/>
  <c r="H58" i="51"/>
  <c r="G58" i="51"/>
  <c r="O47" i="51"/>
  <c r="N47" i="51"/>
  <c r="M47" i="51"/>
  <c r="L47" i="51"/>
  <c r="K47" i="51"/>
  <c r="J47" i="51"/>
  <c r="I47" i="51"/>
  <c r="H47" i="51"/>
  <c r="G47" i="51"/>
  <c r="O14" i="51"/>
  <c r="N14" i="51"/>
  <c r="M14" i="51"/>
  <c r="L14" i="51"/>
  <c r="K14" i="51"/>
  <c r="J14" i="51"/>
  <c r="I14" i="51"/>
  <c r="H14" i="51"/>
  <c r="G14" i="51"/>
  <c r="O58" i="47"/>
  <c r="N58" i="47"/>
  <c r="M58" i="47"/>
  <c r="L58" i="47"/>
  <c r="K58" i="47"/>
  <c r="J58" i="47"/>
  <c r="I58" i="47"/>
  <c r="H58" i="47"/>
  <c r="G58" i="47"/>
  <c r="O47" i="47"/>
  <c r="N47" i="47"/>
  <c r="M47" i="47"/>
  <c r="L47" i="47"/>
  <c r="K47" i="47"/>
  <c r="J47" i="47"/>
  <c r="I47" i="47"/>
  <c r="H47" i="47"/>
  <c r="G47" i="47"/>
  <c r="N14" i="47"/>
  <c r="O14" i="47"/>
  <c r="M14" i="47"/>
  <c r="L14" i="47"/>
  <c r="K14" i="47"/>
  <c r="H14" i="47"/>
  <c r="I14" i="47"/>
  <c r="J14" i="47"/>
  <c r="G14" i="47"/>
  <c r="O59" i="47" l="1"/>
  <c r="O27" i="66"/>
  <c r="Y78" i="43"/>
  <c r="G24" i="55"/>
  <c r="O24" i="59"/>
  <c r="N24" i="59"/>
  <c r="M24" i="59"/>
  <c r="L24" i="59"/>
  <c r="K24" i="59"/>
  <c r="J24" i="59"/>
  <c r="I24" i="59"/>
  <c r="H24" i="59"/>
  <c r="G24" i="59"/>
  <c r="H24" i="55"/>
  <c r="I24" i="55"/>
  <c r="J24" i="55"/>
  <c r="K24" i="55"/>
  <c r="L24" i="55"/>
  <c r="M24" i="55"/>
  <c r="N24" i="55"/>
  <c r="O24" i="55"/>
  <c r="O24" i="52"/>
  <c r="N24" i="52"/>
  <c r="M24" i="52"/>
  <c r="L24" i="52"/>
  <c r="K24" i="52"/>
  <c r="J24" i="52"/>
  <c r="I24" i="52"/>
  <c r="H24" i="52"/>
  <c r="G24" i="52"/>
  <c r="H24" i="49"/>
  <c r="I24" i="49"/>
  <c r="J24" i="49"/>
  <c r="K24" i="49"/>
  <c r="L24" i="49"/>
  <c r="M24" i="49"/>
  <c r="N24" i="49"/>
  <c r="O24" i="49"/>
  <c r="G24" i="49"/>
  <c r="O123" i="59"/>
  <c r="N123" i="59"/>
  <c r="M123" i="59"/>
  <c r="L123" i="59"/>
  <c r="K123" i="59"/>
  <c r="J123" i="59"/>
  <c r="I123" i="59"/>
  <c r="H123" i="59"/>
  <c r="G123" i="59"/>
  <c r="N120" i="59"/>
  <c r="L120" i="59"/>
  <c r="K120" i="59"/>
  <c r="J120" i="59"/>
  <c r="I120" i="59"/>
  <c r="H120" i="59"/>
  <c r="G120" i="59"/>
  <c r="N119" i="59"/>
  <c r="L119" i="59"/>
  <c r="K119" i="59"/>
  <c r="O114" i="59"/>
  <c r="N114" i="59"/>
  <c r="M114" i="59"/>
  <c r="L114" i="59"/>
  <c r="K114" i="59"/>
  <c r="J114" i="59"/>
  <c r="I114" i="59"/>
  <c r="H114" i="59"/>
  <c r="G114" i="59"/>
  <c r="O111" i="59"/>
  <c r="N111" i="59"/>
  <c r="M111" i="59"/>
  <c r="L111" i="59"/>
  <c r="K111" i="59"/>
  <c r="J111" i="59"/>
  <c r="I111" i="59"/>
  <c r="H111" i="59"/>
  <c r="G111" i="59"/>
  <c r="O110" i="59"/>
  <c r="N110" i="59"/>
  <c r="M110" i="59"/>
  <c r="L110" i="59"/>
  <c r="K110" i="59"/>
  <c r="J110" i="59"/>
  <c r="I110" i="59"/>
  <c r="H110" i="59"/>
  <c r="G110" i="59"/>
  <c r="O96" i="59"/>
  <c r="N96" i="59"/>
  <c r="M96" i="59"/>
  <c r="L96" i="59"/>
  <c r="K96" i="59"/>
  <c r="J96" i="59"/>
  <c r="I96" i="59"/>
  <c r="H96" i="59"/>
  <c r="G96" i="59"/>
  <c r="O93" i="59"/>
  <c r="N93" i="59"/>
  <c r="M93" i="59"/>
  <c r="L93" i="59"/>
  <c r="K93" i="59"/>
  <c r="J93" i="59"/>
  <c r="I93" i="59"/>
  <c r="H93" i="59"/>
  <c r="G93" i="59"/>
  <c r="O92" i="59"/>
  <c r="N92" i="59"/>
  <c r="M92" i="59"/>
  <c r="L92" i="59"/>
  <c r="K92" i="59"/>
  <c r="J92" i="59"/>
  <c r="I92" i="59"/>
  <c r="H92" i="59"/>
  <c r="G92" i="59"/>
  <c r="O87" i="59"/>
  <c r="N87" i="59"/>
  <c r="M87" i="59"/>
  <c r="L87" i="59"/>
  <c r="K87" i="59"/>
  <c r="J87" i="59"/>
  <c r="I87" i="59"/>
  <c r="H87" i="59"/>
  <c r="G87" i="59"/>
  <c r="O84" i="59"/>
  <c r="N84" i="59"/>
  <c r="M84" i="59"/>
  <c r="L84" i="59"/>
  <c r="K84" i="59"/>
  <c r="J84" i="59"/>
  <c r="I84" i="59"/>
  <c r="H84" i="59"/>
  <c r="G84" i="59"/>
  <c r="N83" i="59"/>
  <c r="L83" i="59"/>
  <c r="K83" i="59"/>
  <c r="O78" i="59"/>
  <c r="N78" i="59"/>
  <c r="M78" i="59"/>
  <c r="L78" i="59"/>
  <c r="K78" i="59"/>
  <c r="J78" i="59"/>
  <c r="I78" i="59"/>
  <c r="H78" i="59"/>
  <c r="G78" i="59"/>
  <c r="O75" i="59"/>
  <c r="N75" i="59"/>
  <c r="M75" i="59"/>
  <c r="L75" i="59"/>
  <c r="K75" i="59"/>
  <c r="J75" i="59"/>
  <c r="I75" i="59"/>
  <c r="H75" i="59"/>
  <c r="G75" i="59"/>
  <c r="O74" i="59"/>
  <c r="N74" i="59"/>
  <c r="M74" i="59"/>
  <c r="L74" i="59"/>
  <c r="K74" i="59"/>
  <c r="J74" i="59"/>
  <c r="I74" i="59"/>
  <c r="H74" i="59"/>
  <c r="G74" i="59"/>
  <c r="O69" i="59"/>
  <c r="N69" i="59"/>
  <c r="M69" i="59"/>
  <c r="L69" i="59"/>
  <c r="K69" i="59"/>
  <c r="J69" i="59"/>
  <c r="I69" i="59"/>
  <c r="H69" i="59"/>
  <c r="G69" i="59"/>
  <c r="O66" i="59"/>
  <c r="N66" i="59"/>
  <c r="M66" i="59"/>
  <c r="L66" i="59"/>
  <c r="K66" i="59"/>
  <c r="J66" i="59"/>
  <c r="I66" i="59"/>
  <c r="H66" i="59"/>
  <c r="G66" i="59"/>
  <c r="O65" i="59"/>
  <c r="N65" i="59"/>
  <c r="M65" i="59"/>
  <c r="L65" i="59"/>
  <c r="K65" i="59"/>
  <c r="J65" i="59"/>
  <c r="I65" i="59"/>
  <c r="H65" i="59"/>
  <c r="G65" i="59"/>
  <c r="O60" i="59"/>
  <c r="N60" i="59"/>
  <c r="M60" i="59"/>
  <c r="L60" i="59"/>
  <c r="K60" i="59"/>
  <c r="J60" i="59"/>
  <c r="I60" i="59"/>
  <c r="H60" i="59"/>
  <c r="G60" i="59"/>
  <c r="O57" i="59"/>
  <c r="N57" i="59"/>
  <c r="M57" i="59"/>
  <c r="L57" i="59"/>
  <c r="K57" i="59"/>
  <c r="J57" i="59"/>
  <c r="I57" i="59"/>
  <c r="H57" i="59"/>
  <c r="G57" i="59"/>
  <c r="N56" i="59"/>
  <c r="M56" i="59"/>
  <c r="L56" i="59"/>
  <c r="K56" i="59"/>
  <c r="J56" i="59"/>
  <c r="I56" i="59"/>
  <c r="H56" i="59"/>
  <c r="O51" i="59"/>
  <c r="N51" i="59"/>
  <c r="M51" i="59"/>
  <c r="L51" i="59"/>
  <c r="K51" i="59"/>
  <c r="J51" i="59"/>
  <c r="I51" i="59"/>
  <c r="H51" i="59"/>
  <c r="G51" i="59"/>
  <c r="O48" i="59"/>
  <c r="N48" i="59"/>
  <c r="M48" i="59"/>
  <c r="L48" i="59"/>
  <c r="K48" i="59"/>
  <c r="J48" i="59"/>
  <c r="I48" i="59"/>
  <c r="H48" i="59"/>
  <c r="G48" i="59"/>
  <c r="O47" i="59"/>
  <c r="N47" i="59"/>
  <c r="M47" i="59"/>
  <c r="L47" i="59"/>
  <c r="K47" i="59"/>
  <c r="J47" i="59"/>
  <c r="I47" i="59"/>
  <c r="H47" i="59"/>
  <c r="G47" i="59"/>
  <c r="O42" i="59"/>
  <c r="N42" i="59"/>
  <c r="M42" i="59"/>
  <c r="L42" i="59"/>
  <c r="K42" i="59"/>
  <c r="J42" i="59"/>
  <c r="I42" i="59"/>
  <c r="H42" i="59"/>
  <c r="G42" i="59"/>
  <c r="O39" i="59"/>
  <c r="N39" i="59"/>
  <c r="M39" i="59"/>
  <c r="L39" i="59"/>
  <c r="K39" i="59"/>
  <c r="J39" i="59"/>
  <c r="I39" i="59"/>
  <c r="H39" i="59"/>
  <c r="G39" i="59"/>
  <c r="N38" i="59"/>
  <c r="L38" i="59"/>
  <c r="K38" i="59"/>
  <c r="O33" i="59"/>
  <c r="N33" i="59"/>
  <c r="M33" i="59"/>
  <c r="L33" i="59"/>
  <c r="K33" i="59"/>
  <c r="J33" i="59"/>
  <c r="I33" i="59"/>
  <c r="H33" i="59"/>
  <c r="G33" i="59"/>
  <c r="O30" i="59"/>
  <c r="N30" i="59"/>
  <c r="M30" i="59"/>
  <c r="L30" i="59"/>
  <c r="K30" i="59"/>
  <c r="J30" i="59"/>
  <c r="I30" i="59"/>
  <c r="H30" i="59"/>
  <c r="G30" i="59"/>
  <c r="N29" i="59"/>
  <c r="L29" i="59"/>
  <c r="K29" i="59"/>
  <c r="O21" i="59"/>
  <c r="N21" i="59"/>
  <c r="M21" i="59"/>
  <c r="L21" i="59"/>
  <c r="K21" i="59"/>
  <c r="J21" i="59"/>
  <c r="I21" i="59"/>
  <c r="H21" i="59"/>
  <c r="G21" i="59"/>
  <c r="O20" i="59"/>
  <c r="N20" i="59"/>
  <c r="M20" i="59"/>
  <c r="L20" i="59"/>
  <c r="K20" i="59"/>
  <c r="J20" i="59"/>
  <c r="I20" i="59"/>
  <c r="H20" i="59"/>
  <c r="G20" i="59"/>
  <c r="O15" i="59"/>
  <c r="N15" i="59"/>
  <c r="M15" i="59"/>
  <c r="L15" i="59"/>
  <c r="K15" i="59"/>
  <c r="J15" i="59"/>
  <c r="I15" i="59"/>
  <c r="H15" i="59"/>
  <c r="G15" i="59"/>
  <c r="O12" i="59"/>
  <c r="N12" i="59"/>
  <c r="M12" i="59"/>
  <c r="L12" i="59"/>
  <c r="K12" i="59"/>
  <c r="J12" i="59"/>
  <c r="I12" i="59"/>
  <c r="H12" i="59"/>
  <c r="G12" i="59"/>
  <c r="O11" i="59"/>
  <c r="N11" i="59"/>
  <c r="M11" i="59"/>
  <c r="L11" i="59"/>
  <c r="K11" i="59"/>
  <c r="J11" i="59"/>
  <c r="I11" i="59"/>
  <c r="G11" i="59"/>
  <c r="O123" i="55"/>
  <c r="N123" i="55"/>
  <c r="M123" i="55"/>
  <c r="L123" i="55"/>
  <c r="K123" i="55"/>
  <c r="J123" i="55"/>
  <c r="I123" i="55"/>
  <c r="H123" i="55"/>
  <c r="G123" i="55"/>
  <c r="O120" i="55"/>
  <c r="N120" i="55"/>
  <c r="M120" i="55"/>
  <c r="L120" i="55"/>
  <c r="K120" i="55"/>
  <c r="J120" i="55"/>
  <c r="I120" i="55"/>
  <c r="H120" i="55"/>
  <c r="G120" i="55"/>
  <c r="O119" i="55"/>
  <c r="N119" i="55"/>
  <c r="M119" i="55"/>
  <c r="O114" i="55"/>
  <c r="N114" i="55"/>
  <c r="M114" i="55"/>
  <c r="L114" i="55"/>
  <c r="K114" i="55"/>
  <c r="J114" i="55"/>
  <c r="I114" i="55"/>
  <c r="H114" i="55"/>
  <c r="G114" i="55"/>
  <c r="O111" i="55"/>
  <c r="N111" i="55"/>
  <c r="M111" i="55"/>
  <c r="L111" i="55"/>
  <c r="K111" i="55"/>
  <c r="J111" i="55"/>
  <c r="I111" i="55"/>
  <c r="H111" i="55"/>
  <c r="G111" i="55"/>
  <c r="O110" i="55"/>
  <c r="N110" i="55"/>
  <c r="M110" i="55"/>
  <c r="L110" i="55"/>
  <c r="K110" i="55"/>
  <c r="J110" i="55"/>
  <c r="I110" i="55"/>
  <c r="H110" i="55"/>
  <c r="G110" i="55"/>
  <c r="O96" i="55"/>
  <c r="N96" i="55"/>
  <c r="M96" i="55"/>
  <c r="L96" i="55"/>
  <c r="K96" i="55"/>
  <c r="J96" i="55"/>
  <c r="I96" i="55"/>
  <c r="H96" i="55"/>
  <c r="G96" i="55"/>
  <c r="O93" i="55"/>
  <c r="N93" i="55"/>
  <c r="M93" i="55"/>
  <c r="L93" i="55"/>
  <c r="K93" i="55"/>
  <c r="J93" i="55"/>
  <c r="I93" i="55"/>
  <c r="H93" i="55"/>
  <c r="G93" i="55"/>
  <c r="O92" i="55"/>
  <c r="N92" i="55"/>
  <c r="M92" i="55"/>
  <c r="L92" i="55"/>
  <c r="K92" i="55"/>
  <c r="J92" i="55"/>
  <c r="I92" i="55"/>
  <c r="H92" i="55"/>
  <c r="G92" i="55"/>
  <c r="O87" i="55"/>
  <c r="N87" i="55"/>
  <c r="M87" i="55"/>
  <c r="L87" i="55"/>
  <c r="K87" i="55"/>
  <c r="J87" i="55"/>
  <c r="I87" i="55"/>
  <c r="H87" i="55"/>
  <c r="G87" i="55"/>
  <c r="O84" i="55"/>
  <c r="N84" i="55"/>
  <c r="M84" i="55"/>
  <c r="L84" i="55"/>
  <c r="K84" i="55"/>
  <c r="J84" i="55"/>
  <c r="I84" i="55"/>
  <c r="H84" i="55"/>
  <c r="G84" i="55"/>
  <c r="N83" i="55"/>
  <c r="M83" i="55"/>
  <c r="L83" i="55"/>
  <c r="K83" i="55"/>
  <c r="J83" i="55"/>
  <c r="I83" i="55"/>
  <c r="H83" i="55"/>
  <c r="G83" i="55"/>
  <c r="O78" i="55"/>
  <c r="N78" i="55"/>
  <c r="M78" i="55"/>
  <c r="L78" i="55"/>
  <c r="K78" i="55"/>
  <c r="J78" i="55"/>
  <c r="I78" i="55"/>
  <c r="H78" i="55"/>
  <c r="G78" i="55"/>
  <c r="O75" i="55"/>
  <c r="N75" i="55"/>
  <c r="M75" i="55"/>
  <c r="L75" i="55"/>
  <c r="K75" i="55"/>
  <c r="J75" i="55"/>
  <c r="I75" i="55"/>
  <c r="H75" i="55"/>
  <c r="G75" i="55"/>
  <c r="O74" i="55"/>
  <c r="N74" i="55"/>
  <c r="M74" i="55"/>
  <c r="L74" i="55"/>
  <c r="K74" i="55"/>
  <c r="J74" i="55"/>
  <c r="I74" i="55"/>
  <c r="H74" i="55"/>
  <c r="G74" i="55"/>
  <c r="O69" i="55"/>
  <c r="N69" i="55"/>
  <c r="M69" i="55"/>
  <c r="L69" i="55"/>
  <c r="K69" i="55"/>
  <c r="J69" i="55"/>
  <c r="I69" i="55"/>
  <c r="H69" i="55"/>
  <c r="G69" i="55"/>
  <c r="O66" i="55"/>
  <c r="N66" i="55"/>
  <c r="M66" i="55"/>
  <c r="L66" i="55"/>
  <c r="K66" i="55"/>
  <c r="J66" i="55"/>
  <c r="I66" i="55"/>
  <c r="H66" i="55"/>
  <c r="G66" i="55"/>
  <c r="O65" i="55"/>
  <c r="N65" i="55"/>
  <c r="M65" i="55"/>
  <c r="L65" i="55"/>
  <c r="K65" i="55"/>
  <c r="J65" i="55"/>
  <c r="I65" i="55"/>
  <c r="H65" i="55"/>
  <c r="G65" i="55"/>
  <c r="O60" i="55"/>
  <c r="N60" i="55"/>
  <c r="M60" i="55"/>
  <c r="L60" i="55"/>
  <c r="K60" i="55"/>
  <c r="J60" i="55"/>
  <c r="I60" i="55"/>
  <c r="H60" i="55"/>
  <c r="G60" i="55"/>
  <c r="O57" i="55"/>
  <c r="N57" i="55"/>
  <c r="M57" i="55"/>
  <c r="L57" i="55"/>
  <c r="K57" i="55"/>
  <c r="J57" i="55"/>
  <c r="I57" i="55"/>
  <c r="H57" i="55"/>
  <c r="G57" i="55"/>
  <c r="N56" i="55"/>
  <c r="M56" i="55"/>
  <c r="L56" i="55"/>
  <c r="K56" i="55"/>
  <c r="J56" i="55"/>
  <c r="I56" i="55"/>
  <c r="H56" i="55"/>
  <c r="O51" i="55"/>
  <c r="N51" i="55"/>
  <c r="M51" i="55"/>
  <c r="L51" i="55"/>
  <c r="K51" i="55"/>
  <c r="J51" i="55"/>
  <c r="I51" i="55"/>
  <c r="H51" i="55"/>
  <c r="G51" i="55"/>
  <c r="O48" i="55"/>
  <c r="N48" i="55"/>
  <c r="M48" i="55"/>
  <c r="L48" i="55"/>
  <c r="K48" i="55"/>
  <c r="J48" i="55"/>
  <c r="I48" i="55"/>
  <c r="H48" i="55"/>
  <c r="G48" i="55"/>
  <c r="O47" i="55"/>
  <c r="N47" i="55"/>
  <c r="M47" i="55"/>
  <c r="L47" i="55"/>
  <c r="K47" i="55"/>
  <c r="J47" i="55"/>
  <c r="I47" i="55"/>
  <c r="H47" i="55"/>
  <c r="G47" i="55"/>
  <c r="O42" i="55"/>
  <c r="N42" i="55"/>
  <c r="M42" i="55"/>
  <c r="L42" i="55"/>
  <c r="K42" i="55"/>
  <c r="J42" i="55"/>
  <c r="I42" i="55"/>
  <c r="H42" i="55"/>
  <c r="G42" i="55"/>
  <c r="O39" i="55"/>
  <c r="N39" i="55"/>
  <c r="M39" i="55"/>
  <c r="L39" i="55"/>
  <c r="K39" i="55"/>
  <c r="J39" i="55"/>
  <c r="I39" i="55"/>
  <c r="H39" i="55"/>
  <c r="G39" i="55"/>
  <c r="N38" i="55"/>
  <c r="L38" i="55"/>
  <c r="K38" i="55"/>
  <c r="O33" i="55"/>
  <c r="N33" i="55"/>
  <c r="M33" i="55"/>
  <c r="L33" i="55"/>
  <c r="K33" i="55"/>
  <c r="J33" i="55"/>
  <c r="I33" i="55"/>
  <c r="H33" i="55"/>
  <c r="G33" i="55"/>
  <c r="O30" i="55"/>
  <c r="N30" i="55"/>
  <c r="M30" i="55"/>
  <c r="L30" i="55"/>
  <c r="K30" i="55"/>
  <c r="J30" i="55"/>
  <c r="I30" i="55"/>
  <c r="H30" i="55"/>
  <c r="G30" i="55"/>
  <c r="N29" i="55"/>
  <c r="L29" i="55"/>
  <c r="K29" i="55"/>
  <c r="O21" i="55"/>
  <c r="N21" i="55"/>
  <c r="M21" i="55"/>
  <c r="L21" i="55"/>
  <c r="K21" i="55"/>
  <c r="J21" i="55"/>
  <c r="I21" i="55"/>
  <c r="H21" i="55"/>
  <c r="G21" i="55"/>
  <c r="O20" i="55"/>
  <c r="N20" i="55"/>
  <c r="M20" i="55"/>
  <c r="L20" i="55"/>
  <c r="K20" i="55"/>
  <c r="J20" i="55"/>
  <c r="I20" i="55"/>
  <c r="H20" i="55"/>
  <c r="G20" i="55"/>
  <c r="O15" i="55"/>
  <c r="N15" i="55"/>
  <c r="M15" i="55"/>
  <c r="L15" i="55"/>
  <c r="K15" i="55"/>
  <c r="J15" i="55"/>
  <c r="I15" i="55"/>
  <c r="H15" i="55"/>
  <c r="G15" i="55"/>
  <c r="O12" i="55"/>
  <c r="N12" i="55"/>
  <c r="M12" i="55"/>
  <c r="L12" i="55"/>
  <c r="K12" i="55"/>
  <c r="J12" i="55"/>
  <c r="I12" i="55"/>
  <c r="H12" i="55"/>
  <c r="G12" i="55"/>
  <c r="O11" i="55"/>
  <c r="N11" i="55"/>
  <c r="M11" i="55"/>
  <c r="L11" i="55"/>
  <c r="K11" i="55"/>
  <c r="J11" i="55"/>
  <c r="I11" i="55"/>
  <c r="G11" i="55"/>
  <c r="O123" i="52"/>
  <c r="N123" i="52"/>
  <c r="M123" i="52"/>
  <c r="L123" i="52"/>
  <c r="K123" i="52"/>
  <c r="J123" i="52"/>
  <c r="I123" i="52"/>
  <c r="H123" i="52"/>
  <c r="G123" i="52"/>
  <c r="N120" i="52"/>
  <c r="L120" i="52"/>
  <c r="K120" i="52"/>
  <c r="J120" i="52"/>
  <c r="I120" i="52"/>
  <c r="H120" i="52"/>
  <c r="G120" i="52"/>
  <c r="N119" i="52"/>
  <c r="L119" i="52"/>
  <c r="K119" i="52"/>
  <c r="O114" i="52"/>
  <c r="N114" i="52"/>
  <c r="M114" i="52"/>
  <c r="L114" i="52"/>
  <c r="K114" i="52"/>
  <c r="J114" i="52"/>
  <c r="I114" i="52"/>
  <c r="H114" i="52"/>
  <c r="G114" i="52"/>
  <c r="O111" i="52"/>
  <c r="N111" i="52"/>
  <c r="M111" i="52"/>
  <c r="L111" i="52"/>
  <c r="K111" i="52"/>
  <c r="J111" i="52"/>
  <c r="I111" i="52"/>
  <c r="H111" i="52"/>
  <c r="G111" i="52"/>
  <c r="O110" i="52"/>
  <c r="N110" i="52"/>
  <c r="M110" i="52"/>
  <c r="L110" i="52"/>
  <c r="K110" i="52"/>
  <c r="J110" i="52"/>
  <c r="I110" i="52"/>
  <c r="H110" i="52"/>
  <c r="G110" i="52"/>
  <c r="O96" i="52"/>
  <c r="N96" i="52"/>
  <c r="M96" i="52"/>
  <c r="L96" i="52"/>
  <c r="K96" i="52"/>
  <c r="J96" i="52"/>
  <c r="I96" i="52"/>
  <c r="H96" i="52"/>
  <c r="G96" i="52"/>
  <c r="O93" i="52"/>
  <c r="N93" i="52"/>
  <c r="M93" i="52"/>
  <c r="L93" i="52"/>
  <c r="K93" i="52"/>
  <c r="J93" i="52"/>
  <c r="I93" i="52"/>
  <c r="H93" i="52"/>
  <c r="G93" i="52"/>
  <c r="O92" i="52"/>
  <c r="N92" i="52"/>
  <c r="M92" i="52"/>
  <c r="L92" i="52"/>
  <c r="K92" i="52"/>
  <c r="J92" i="52"/>
  <c r="I92" i="52"/>
  <c r="H92" i="52"/>
  <c r="G92" i="52"/>
  <c r="O87" i="52"/>
  <c r="N87" i="52"/>
  <c r="M87" i="52"/>
  <c r="L87" i="52"/>
  <c r="K87" i="52"/>
  <c r="J87" i="52"/>
  <c r="I87" i="52"/>
  <c r="H87" i="52"/>
  <c r="G87" i="52"/>
  <c r="O84" i="52"/>
  <c r="N84" i="52"/>
  <c r="M84" i="52"/>
  <c r="L84" i="52"/>
  <c r="K84" i="52"/>
  <c r="J84" i="52"/>
  <c r="I84" i="52"/>
  <c r="H84" i="52"/>
  <c r="G84" i="52"/>
  <c r="N83" i="52"/>
  <c r="L83" i="52"/>
  <c r="K83" i="52"/>
  <c r="O78" i="52"/>
  <c r="N78" i="52"/>
  <c r="M78" i="52"/>
  <c r="L78" i="52"/>
  <c r="K78" i="52"/>
  <c r="J78" i="52"/>
  <c r="I78" i="52"/>
  <c r="H78" i="52"/>
  <c r="G78" i="52"/>
  <c r="O75" i="52"/>
  <c r="N75" i="52"/>
  <c r="M75" i="52"/>
  <c r="L75" i="52"/>
  <c r="K75" i="52"/>
  <c r="J75" i="52"/>
  <c r="I75" i="52"/>
  <c r="H75" i="52"/>
  <c r="G75" i="52"/>
  <c r="O74" i="52"/>
  <c r="N74" i="52"/>
  <c r="M74" i="52"/>
  <c r="L74" i="52"/>
  <c r="K74" i="52"/>
  <c r="J74" i="52"/>
  <c r="I74" i="52"/>
  <c r="H74" i="52"/>
  <c r="G74" i="52"/>
  <c r="O69" i="52"/>
  <c r="N69" i="52"/>
  <c r="M69" i="52"/>
  <c r="L69" i="52"/>
  <c r="K69" i="52"/>
  <c r="J69" i="52"/>
  <c r="I69" i="52"/>
  <c r="H69" i="52"/>
  <c r="G69" i="52"/>
  <c r="O66" i="52"/>
  <c r="N66" i="52"/>
  <c r="M66" i="52"/>
  <c r="L66" i="52"/>
  <c r="K66" i="52"/>
  <c r="J66" i="52"/>
  <c r="I66" i="52"/>
  <c r="H66" i="52"/>
  <c r="G66" i="52"/>
  <c r="O65" i="52"/>
  <c r="N65" i="52"/>
  <c r="L65" i="52"/>
  <c r="K65" i="52"/>
  <c r="J65" i="52"/>
  <c r="I65" i="52"/>
  <c r="H65" i="52"/>
  <c r="G65" i="52"/>
  <c r="O60" i="52"/>
  <c r="N60" i="52"/>
  <c r="M60" i="52"/>
  <c r="L60" i="52"/>
  <c r="K60" i="52"/>
  <c r="J60" i="52"/>
  <c r="I60" i="52"/>
  <c r="H60" i="52"/>
  <c r="G60" i="52"/>
  <c r="O57" i="52"/>
  <c r="N57" i="52"/>
  <c r="M57" i="52"/>
  <c r="L57" i="52"/>
  <c r="K57" i="52"/>
  <c r="J57" i="52"/>
  <c r="I57" i="52"/>
  <c r="H57" i="52"/>
  <c r="G57" i="52"/>
  <c r="N56" i="52"/>
  <c r="M56" i="52"/>
  <c r="L56" i="52"/>
  <c r="K56" i="52"/>
  <c r="J56" i="52"/>
  <c r="I56" i="52"/>
  <c r="H56" i="52"/>
  <c r="O51" i="52"/>
  <c r="N51" i="52"/>
  <c r="M51" i="52"/>
  <c r="L51" i="52"/>
  <c r="K51" i="52"/>
  <c r="J51" i="52"/>
  <c r="I51" i="52"/>
  <c r="H51" i="52"/>
  <c r="G51" i="52"/>
  <c r="O48" i="52"/>
  <c r="N48" i="52"/>
  <c r="M48" i="52"/>
  <c r="L48" i="52"/>
  <c r="K48" i="52"/>
  <c r="J48" i="52"/>
  <c r="I48" i="52"/>
  <c r="H48" i="52"/>
  <c r="G48" i="52"/>
  <c r="O47" i="52"/>
  <c r="N47" i="52"/>
  <c r="M47" i="52"/>
  <c r="L47" i="52"/>
  <c r="K47" i="52"/>
  <c r="J47" i="52"/>
  <c r="I47" i="52"/>
  <c r="H47" i="52"/>
  <c r="G47" i="52"/>
  <c r="O42" i="52"/>
  <c r="N42" i="52"/>
  <c r="M42" i="52"/>
  <c r="L42" i="52"/>
  <c r="K42" i="52"/>
  <c r="J42" i="52"/>
  <c r="I42" i="52"/>
  <c r="H42" i="52"/>
  <c r="G42" i="52"/>
  <c r="O39" i="52"/>
  <c r="N39" i="52"/>
  <c r="M39" i="52"/>
  <c r="L39" i="52"/>
  <c r="K39" i="52"/>
  <c r="J39" i="52"/>
  <c r="I39" i="52"/>
  <c r="H39" i="52"/>
  <c r="G39" i="52"/>
  <c r="N38" i="52"/>
  <c r="L38" i="52"/>
  <c r="K38" i="52"/>
  <c r="O33" i="52"/>
  <c r="N33" i="52"/>
  <c r="M33" i="52"/>
  <c r="L33" i="52"/>
  <c r="K33" i="52"/>
  <c r="J33" i="52"/>
  <c r="I33" i="52"/>
  <c r="H33" i="52"/>
  <c r="G33" i="52"/>
  <c r="O30" i="52"/>
  <c r="N30" i="52"/>
  <c r="M30" i="52"/>
  <c r="L30" i="52"/>
  <c r="K30" i="52"/>
  <c r="J30" i="52"/>
  <c r="I30" i="52"/>
  <c r="H30" i="52"/>
  <c r="G30" i="52"/>
  <c r="N29" i="52"/>
  <c r="L29" i="52"/>
  <c r="K29" i="52"/>
  <c r="O21" i="52"/>
  <c r="N21" i="52"/>
  <c r="M21" i="52"/>
  <c r="L21" i="52"/>
  <c r="K21" i="52"/>
  <c r="J21" i="52"/>
  <c r="I21" i="52"/>
  <c r="H21" i="52"/>
  <c r="G21" i="52"/>
  <c r="O20" i="52"/>
  <c r="N20" i="52"/>
  <c r="M20" i="52"/>
  <c r="L20" i="52"/>
  <c r="K20" i="52"/>
  <c r="J20" i="52"/>
  <c r="I20" i="52"/>
  <c r="H20" i="52"/>
  <c r="G20" i="52"/>
  <c r="O15" i="52"/>
  <c r="N15" i="52"/>
  <c r="M15" i="52"/>
  <c r="L15" i="52"/>
  <c r="K15" i="52"/>
  <c r="J15" i="52"/>
  <c r="I15" i="52"/>
  <c r="H15" i="52"/>
  <c r="G15" i="52"/>
  <c r="O12" i="52"/>
  <c r="N12" i="52"/>
  <c r="M12" i="52"/>
  <c r="L12" i="52"/>
  <c r="K12" i="52"/>
  <c r="J12" i="52"/>
  <c r="I12" i="52"/>
  <c r="H12" i="52"/>
  <c r="G12" i="52"/>
  <c r="O11" i="52"/>
  <c r="N11" i="52"/>
  <c r="M11" i="52"/>
  <c r="L11" i="52"/>
  <c r="K11" i="52"/>
  <c r="J11" i="52"/>
  <c r="I11" i="52"/>
  <c r="G11" i="52"/>
  <c r="H123" i="49"/>
  <c r="I123" i="49"/>
  <c r="J123" i="49"/>
  <c r="K123" i="49"/>
  <c r="L123" i="49"/>
  <c r="M123" i="49"/>
  <c r="N123" i="49"/>
  <c r="O123" i="49"/>
  <c r="G123" i="49"/>
  <c r="H114" i="49"/>
  <c r="I114" i="49"/>
  <c r="J114" i="49"/>
  <c r="K114" i="49"/>
  <c r="L114" i="49"/>
  <c r="M114" i="49"/>
  <c r="N114" i="49"/>
  <c r="O114" i="49"/>
  <c r="G114" i="49"/>
  <c r="H96" i="49"/>
  <c r="I96" i="49"/>
  <c r="J96" i="49"/>
  <c r="K96" i="49"/>
  <c r="L96" i="49"/>
  <c r="M96" i="49"/>
  <c r="N96" i="49"/>
  <c r="O96" i="49"/>
  <c r="G96" i="49"/>
  <c r="H87" i="49"/>
  <c r="I87" i="49"/>
  <c r="J87" i="49"/>
  <c r="K87" i="49"/>
  <c r="L87" i="49"/>
  <c r="M87" i="49"/>
  <c r="N87" i="49"/>
  <c r="O87" i="49"/>
  <c r="G87" i="49"/>
  <c r="H60" i="49"/>
  <c r="I60" i="49"/>
  <c r="J60" i="49"/>
  <c r="K60" i="49"/>
  <c r="L60" i="49"/>
  <c r="M60" i="49"/>
  <c r="N60" i="49"/>
  <c r="O60" i="49"/>
  <c r="G60" i="49"/>
  <c r="H51" i="49"/>
  <c r="I51" i="49"/>
  <c r="J51" i="49"/>
  <c r="K51" i="49"/>
  <c r="L51" i="49"/>
  <c r="M51" i="49"/>
  <c r="N51" i="49"/>
  <c r="O51" i="49"/>
  <c r="G51" i="49"/>
  <c r="H42" i="49"/>
  <c r="I42" i="49"/>
  <c r="J42" i="49"/>
  <c r="K42" i="49"/>
  <c r="L42" i="49"/>
  <c r="M42" i="49"/>
  <c r="N42" i="49"/>
  <c r="O42" i="49"/>
  <c r="G42" i="49"/>
  <c r="H33" i="49"/>
  <c r="I33" i="49"/>
  <c r="J33" i="49"/>
  <c r="K33" i="49"/>
  <c r="L33" i="49"/>
  <c r="M33" i="49"/>
  <c r="N33" i="49"/>
  <c r="O33" i="49"/>
  <c r="G33" i="49"/>
  <c r="H15" i="49"/>
  <c r="I15" i="49"/>
  <c r="J15" i="49"/>
  <c r="K15" i="49"/>
  <c r="L15" i="49"/>
  <c r="M15" i="49"/>
  <c r="N15" i="49"/>
  <c r="O15" i="49"/>
  <c r="G15" i="49"/>
  <c r="G120" i="49"/>
  <c r="H120" i="49"/>
  <c r="I120" i="49"/>
  <c r="J120" i="49"/>
  <c r="K120" i="49"/>
  <c r="L120" i="49"/>
  <c r="M120" i="49"/>
  <c r="N120" i="49"/>
  <c r="O120" i="49"/>
  <c r="M119" i="49"/>
  <c r="N119" i="49"/>
  <c r="O119" i="49"/>
  <c r="G111" i="49"/>
  <c r="H111" i="49"/>
  <c r="I111" i="49"/>
  <c r="J111" i="49"/>
  <c r="K111" i="49"/>
  <c r="L111" i="49"/>
  <c r="M111" i="49"/>
  <c r="N111" i="49"/>
  <c r="O111" i="49"/>
  <c r="H110" i="49"/>
  <c r="I110" i="49"/>
  <c r="J110" i="49"/>
  <c r="K110" i="49"/>
  <c r="K115" i="49" s="1"/>
  <c r="L110" i="49"/>
  <c r="M110" i="49"/>
  <c r="N110" i="49"/>
  <c r="O110" i="49"/>
  <c r="G110" i="49"/>
  <c r="G93" i="49"/>
  <c r="H93" i="49"/>
  <c r="I93" i="49"/>
  <c r="J93" i="49"/>
  <c r="K93" i="49"/>
  <c r="L93" i="49"/>
  <c r="M93" i="49"/>
  <c r="N93" i="49"/>
  <c r="O93" i="49"/>
  <c r="H92" i="49"/>
  <c r="I92" i="49"/>
  <c r="I97" i="49" s="1"/>
  <c r="J92" i="49"/>
  <c r="K92" i="49"/>
  <c r="L92" i="49"/>
  <c r="M92" i="49"/>
  <c r="M97" i="49" s="1"/>
  <c r="N92" i="49"/>
  <c r="O92" i="49"/>
  <c r="G92" i="49"/>
  <c r="G84" i="49"/>
  <c r="H84" i="49"/>
  <c r="I84" i="49"/>
  <c r="J84" i="49"/>
  <c r="K84" i="49"/>
  <c r="L84" i="49"/>
  <c r="M84" i="49"/>
  <c r="N84" i="49"/>
  <c r="O84" i="49"/>
  <c r="H83" i="49"/>
  <c r="I83" i="49"/>
  <c r="J83" i="49"/>
  <c r="K83" i="49"/>
  <c r="L83" i="49"/>
  <c r="M83" i="49"/>
  <c r="M88" i="49" s="1"/>
  <c r="N83" i="49"/>
  <c r="G83" i="49"/>
  <c r="G88" i="49" s="1"/>
  <c r="G75" i="49"/>
  <c r="H75" i="49"/>
  <c r="I75" i="49"/>
  <c r="J75" i="49"/>
  <c r="K75" i="49"/>
  <c r="L75" i="49"/>
  <c r="M75" i="49"/>
  <c r="N75" i="49"/>
  <c r="O75" i="49"/>
  <c r="H74" i="49"/>
  <c r="I74" i="49"/>
  <c r="J74" i="49"/>
  <c r="K74" i="49"/>
  <c r="L74" i="49"/>
  <c r="M74" i="49"/>
  <c r="N74" i="49"/>
  <c r="O74" i="49"/>
  <c r="G74" i="49"/>
  <c r="G66" i="49"/>
  <c r="H66" i="49"/>
  <c r="I66" i="49"/>
  <c r="J66" i="49"/>
  <c r="K66" i="49"/>
  <c r="L66" i="49"/>
  <c r="M66" i="49"/>
  <c r="N66" i="49"/>
  <c r="O66" i="49"/>
  <c r="H65" i="49"/>
  <c r="I65" i="49"/>
  <c r="J65" i="49"/>
  <c r="K65" i="49"/>
  <c r="L65" i="49"/>
  <c r="N65" i="49"/>
  <c r="O65" i="49"/>
  <c r="G65" i="49"/>
  <c r="G57" i="49"/>
  <c r="H57" i="49"/>
  <c r="I57" i="49"/>
  <c r="J57" i="49"/>
  <c r="K57" i="49"/>
  <c r="L57" i="49"/>
  <c r="M57" i="49"/>
  <c r="N57" i="49"/>
  <c r="O57" i="49"/>
  <c r="H56" i="49"/>
  <c r="H61" i="49" s="1"/>
  <c r="I56" i="49"/>
  <c r="J56" i="49"/>
  <c r="K56" i="49"/>
  <c r="K61" i="49" s="1"/>
  <c r="L56" i="49"/>
  <c r="L61" i="49" s="1"/>
  <c r="M56" i="49"/>
  <c r="N56" i="49"/>
  <c r="G48" i="49"/>
  <c r="H48" i="49"/>
  <c r="I48" i="49"/>
  <c r="J48" i="49"/>
  <c r="K48" i="49"/>
  <c r="L48" i="49"/>
  <c r="M48" i="49"/>
  <c r="N48" i="49"/>
  <c r="O48" i="49"/>
  <c r="H47" i="49"/>
  <c r="I47" i="49"/>
  <c r="J47" i="49"/>
  <c r="J52" i="49" s="1"/>
  <c r="K47" i="49"/>
  <c r="K52" i="49" s="1"/>
  <c r="L47" i="49"/>
  <c r="M47" i="49"/>
  <c r="N47" i="49"/>
  <c r="O47" i="49"/>
  <c r="G47" i="49"/>
  <c r="G39" i="49"/>
  <c r="H39" i="49"/>
  <c r="I39" i="49"/>
  <c r="J39" i="49"/>
  <c r="K39" i="49"/>
  <c r="L39" i="49"/>
  <c r="M39" i="49"/>
  <c r="N39" i="49"/>
  <c r="O39" i="49"/>
  <c r="K38" i="49"/>
  <c r="L38" i="49"/>
  <c r="N38" i="49"/>
  <c r="G30" i="49"/>
  <c r="H30" i="49"/>
  <c r="I30" i="49"/>
  <c r="J30" i="49"/>
  <c r="K30" i="49"/>
  <c r="L30" i="49"/>
  <c r="M30" i="49"/>
  <c r="N30" i="49"/>
  <c r="O30" i="49"/>
  <c r="K29" i="49"/>
  <c r="L29" i="49"/>
  <c r="L34" i="49" s="1"/>
  <c r="N29" i="49"/>
  <c r="H20" i="49"/>
  <c r="H25" i="49" s="1"/>
  <c r="I20" i="49"/>
  <c r="I25" i="49" s="1"/>
  <c r="J20" i="49"/>
  <c r="J25" i="49" s="1"/>
  <c r="K20" i="49"/>
  <c r="K25" i="49" s="1"/>
  <c r="L20" i="49"/>
  <c r="L25" i="49" s="1"/>
  <c r="M20" i="49"/>
  <c r="M25" i="49" s="1"/>
  <c r="N20" i="49"/>
  <c r="N25" i="49" s="1"/>
  <c r="O20" i="49"/>
  <c r="O25" i="49" s="1"/>
  <c r="H21" i="49"/>
  <c r="I21" i="49"/>
  <c r="J21" i="49"/>
  <c r="K21" i="49"/>
  <c r="L21" i="49"/>
  <c r="M21" i="49"/>
  <c r="N21" i="49"/>
  <c r="O21" i="49"/>
  <c r="G21" i="49"/>
  <c r="G20" i="49"/>
  <c r="G25" i="49" s="1"/>
  <c r="G12" i="49"/>
  <c r="H12" i="49"/>
  <c r="I12" i="49"/>
  <c r="J12" i="49"/>
  <c r="K12" i="49"/>
  <c r="L12" i="49"/>
  <c r="M12" i="49"/>
  <c r="N12" i="49"/>
  <c r="O12" i="49"/>
  <c r="I11" i="49"/>
  <c r="J11" i="49"/>
  <c r="J16" i="49" s="1"/>
  <c r="K11" i="49"/>
  <c r="K16" i="49" s="1"/>
  <c r="L11" i="49"/>
  <c r="L16" i="49" s="1"/>
  <c r="M11" i="49"/>
  <c r="N11" i="49"/>
  <c r="N16" i="49" s="1"/>
  <c r="O11" i="49"/>
  <c r="G11" i="49"/>
  <c r="F21" i="58"/>
  <c r="F21" i="54"/>
  <c r="F21" i="51"/>
  <c r="O16" i="49" l="1"/>
  <c r="N52" i="49"/>
  <c r="N43" i="49"/>
  <c r="N97" i="49"/>
  <c r="G16" i="49"/>
  <c r="O52" i="49"/>
  <c r="O115" i="49"/>
  <c r="I88" i="49"/>
  <c r="J97" i="49"/>
  <c r="N115" i="49"/>
  <c r="J115" i="49"/>
  <c r="O124" i="49"/>
  <c r="L88" i="49"/>
  <c r="H88" i="49"/>
  <c r="K43" i="49"/>
  <c r="J88" i="49"/>
  <c r="M61" i="49"/>
  <c r="I61" i="49"/>
  <c r="K97" i="49"/>
  <c r="M16" i="49"/>
  <c r="I16" i="49"/>
  <c r="G52" i="49"/>
  <c r="L52" i="49"/>
  <c r="H52" i="49"/>
  <c r="G115" i="49"/>
  <c r="L115" i="49"/>
  <c r="H115" i="49"/>
  <c r="M124" i="49"/>
  <c r="L43" i="49"/>
  <c r="K88" i="49"/>
  <c r="K34" i="49"/>
  <c r="N61" i="49"/>
  <c r="J61" i="49"/>
  <c r="G97" i="49"/>
  <c r="L97" i="49"/>
  <c r="H97" i="49"/>
  <c r="M52" i="49"/>
  <c r="I52" i="49"/>
  <c r="M115" i="49"/>
  <c r="I115" i="49"/>
  <c r="N124" i="49"/>
  <c r="N88" i="49"/>
  <c r="O97" i="49"/>
  <c r="N34" i="49"/>
  <c r="M69" i="49"/>
  <c r="M78" i="49"/>
  <c r="M79" i="49" s="1"/>
  <c r="I69" i="49"/>
  <c r="I70" i="49" s="1"/>
  <c r="I78" i="49"/>
  <c r="I79" i="49" s="1"/>
  <c r="G69" i="49"/>
  <c r="G70" i="49" s="1"/>
  <c r="G78" i="49"/>
  <c r="G79" i="49" s="1"/>
  <c r="L69" i="49"/>
  <c r="L70" i="49" s="1"/>
  <c r="L78" i="49"/>
  <c r="L79" i="49" s="1"/>
  <c r="H69" i="49"/>
  <c r="H70" i="49" s="1"/>
  <c r="H78" i="49"/>
  <c r="H79" i="49" s="1"/>
  <c r="O78" i="49"/>
  <c r="O79" i="49" s="1"/>
  <c r="O69" i="49"/>
  <c r="O70" i="49" s="1"/>
  <c r="K78" i="49"/>
  <c r="K79" i="49" s="1"/>
  <c r="K69" i="49"/>
  <c r="K70" i="49" s="1"/>
  <c r="N69" i="49"/>
  <c r="N70" i="49" s="1"/>
  <c r="N78" i="49"/>
  <c r="N79" i="49" s="1"/>
  <c r="J69" i="49"/>
  <c r="J70" i="49" s="1"/>
  <c r="J78" i="49"/>
  <c r="J79" i="49" s="1"/>
  <c r="C2" i="59"/>
  <c r="F30" i="58"/>
  <c r="C2" i="58"/>
  <c r="C2" i="55"/>
  <c r="F30" i="54"/>
  <c r="C2" i="54"/>
  <c r="C2" i="52"/>
  <c r="C2" i="51"/>
  <c r="O33" i="47"/>
  <c r="N8" i="49" l="1"/>
  <c r="C2" i="49"/>
  <c r="G56" i="52"/>
  <c r="F21" i="47"/>
  <c r="C2" i="47"/>
  <c r="J119" i="49" l="1"/>
  <c r="J124" i="49" s="1"/>
  <c r="K119" i="49"/>
  <c r="K124" i="49" s="1"/>
  <c r="K8" i="49" s="1"/>
  <c r="G119" i="49"/>
  <c r="G124" i="49" s="1"/>
  <c r="J83" i="59"/>
  <c r="H119" i="49"/>
  <c r="H124" i="49" s="1"/>
  <c r="H83" i="52"/>
  <c r="G119" i="52"/>
  <c r="I29" i="59"/>
  <c r="H38" i="59"/>
  <c r="H11" i="59"/>
  <c r="J29" i="52"/>
  <c r="I38" i="52"/>
  <c r="G119" i="59"/>
  <c r="H29" i="55"/>
  <c r="G38" i="55"/>
  <c r="H119" i="59"/>
  <c r="G83" i="59"/>
  <c r="L119" i="55"/>
  <c r="H119" i="55"/>
  <c r="I119" i="49"/>
  <c r="I124" i="49" s="1"/>
  <c r="I83" i="52"/>
  <c r="H119" i="52"/>
  <c r="I29" i="55"/>
  <c r="H38" i="55"/>
  <c r="H11" i="55"/>
  <c r="J29" i="59"/>
  <c r="I38" i="59"/>
  <c r="G29" i="52"/>
  <c r="J38" i="52"/>
  <c r="K119" i="55"/>
  <c r="G119" i="55"/>
  <c r="J83" i="52"/>
  <c r="I119" i="52"/>
  <c r="J29" i="55"/>
  <c r="I38" i="55"/>
  <c r="G29" i="59"/>
  <c r="J38" i="59"/>
  <c r="G56" i="59"/>
  <c r="H29" i="52"/>
  <c r="G38" i="52"/>
  <c r="I119" i="55"/>
  <c r="L119" i="49"/>
  <c r="L124" i="49" s="1"/>
  <c r="L8" i="49" s="1"/>
  <c r="I119" i="59"/>
  <c r="H83" i="59"/>
  <c r="I83" i="59"/>
  <c r="J119" i="55"/>
  <c r="G83" i="52"/>
  <c r="G29" i="55"/>
  <c r="J38" i="55"/>
  <c r="G56" i="55"/>
  <c r="H29" i="59"/>
  <c r="G38" i="59"/>
  <c r="I29" i="52"/>
  <c r="H38" i="52"/>
  <c r="H11" i="52"/>
  <c r="O83" i="55"/>
  <c r="O83" i="49"/>
  <c r="O88" i="49" s="1"/>
  <c r="O56" i="52"/>
  <c r="O56" i="59"/>
  <c r="M65" i="52"/>
  <c r="O56" i="55"/>
  <c r="M120" i="52"/>
  <c r="M38" i="55"/>
  <c r="J119" i="59"/>
  <c r="M29" i="52"/>
  <c r="M120" i="59"/>
  <c r="M29" i="59"/>
  <c r="M38" i="52"/>
  <c r="M83" i="59"/>
  <c r="M83" i="52"/>
  <c r="J119" i="52"/>
  <c r="M29" i="55"/>
  <c r="M38" i="59"/>
  <c r="O120" i="52" l="1"/>
  <c r="O83" i="52"/>
  <c r="O120" i="59"/>
  <c r="O38" i="59"/>
  <c r="O38" i="52"/>
  <c r="O38" i="55"/>
  <c r="O29" i="55"/>
  <c r="O29" i="59"/>
  <c r="O29" i="52"/>
  <c r="M119" i="52"/>
  <c r="O83" i="59"/>
  <c r="M119" i="59"/>
  <c r="H11" i="49"/>
  <c r="H16" i="49" s="1"/>
  <c r="AA257" i="43"/>
  <c r="AA50" i="43" s="1"/>
  <c r="AA82" i="43"/>
  <c r="AA76" i="43" l="1"/>
  <c r="AA78" i="43" s="1"/>
  <c r="AA266" i="43"/>
  <c r="AA90" i="43"/>
  <c r="O11" i="47"/>
  <c r="I29" i="49"/>
  <c r="I34" i="49" s="1"/>
  <c r="H38" i="49"/>
  <c r="H43" i="49" s="1"/>
  <c r="G56" i="49"/>
  <c r="G61" i="49" s="1"/>
  <c r="G29" i="49"/>
  <c r="G34" i="49" s="1"/>
  <c r="J29" i="49"/>
  <c r="J34" i="49" s="1"/>
  <c r="I38" i="49"/>
  <c r="I43" i="49" s="1"/>
  <c r="J38" i="49"/>
  <c r="J43" i="49" s="1"/>
  <c r="H29" i="49"/>
  <c r="H34" i="49" s="1"/>
  <c r="G38" i="49"/>
  <c r="G43" i="49" s="1"/>
  <c r="O119" i="59"/>
  <c r="O119" i="52"/>
  <c r="M65" i="49"/>
  <c r="M70" i="49" s="1"/>
  <c r="M29" i="49"/>
  <c r="M34" i="49" s="1"/>
  <c r="M38" i="49"/>
  <c r="M43" i="49" s="1"/>
  <c r="J8" i="49" l="1"/>
  <c r="H8" i="49"/>
  <c r="I8" i="49"/>
  <c r="M8" i="49"/>
  <c r="G8" i="49"/>
  <c r="AA98" i="43"/>
  <c r="O13" i="66"/>
  <c r="O15" i="66" s="1"/>
  <c r="O18" i="66" s="1"/>
  <c r="O56" i="49"/>
  <c r="O61" i="49" s="1"/>
  <c r="O38" i="49"/>
  <c r="O43" i="49" s="1"/>
  <c r="O29" i="49"/>
  <c r="O34" i="49" s="1"/>
  <c r="O8" i="49" l="1"/>
  <c r="F11" i="72"/>
  <c r="G11" i="72" s="1"/>
  <c r="H11" i="72"/>
  <c r="H12" i="72" s="1"/>
  <c r="C2" i="44"/>
  <c r="D44" i="34" s="1"/>
  <c r="AI30" i="43" l="1"/>
  <c r="I57" i="51" s="1"/>
  <c r="AI14" i="43"/>
  <c r="I13" i="51" s="1"/>
  <c r="AI26" i="43"/>
  <c r="I46" i="51" s="1"/>
  <c r="AI34" i="43"/>
  <c r="I68" i="51" s="1"/>
  <c r="AI18" i="43"/>
  <c r="I24" i="51" s="1"/>
  <c r="BL30" i="43"/>
  <c r="I57" i="58" s="1"/>
  <c r="BL14" i="43"/>
  <c r="I13" i="58" s="1"/>
  <c r="BL34" i="43"/>
  <c r="I68" i="58" s="1"/>
  <c r="BL26" i="43"/>
  <c r="I46" i="58" s="1"/>
  <c r="BL18" i="43"/>
  <c r="I24" i="58" s="1"/>
  <c r="AX26" i="43"/>
  <c r="I46" i="54" s="1"/>
  <c r="AX14" i="43"/>
  <c r="I13" i="54" s="1"/>
  <c r="AX18" i="43"/>
  <c r="I24" i="54" s="1"/>
  <c r="AX30" i="43"/>
  <c r="I57" i="54" s="1"/>
  <c r="AX34" i="43"/>
  <c r="I68" i="54" s="1"/>
  <c r="I12" i="66"/>
  <c r="I15" i="66" s="1"/>
  <c r="I18" i="66" s="1"/>
  <c r="I18" i="60" s="1"/>
  <c r="U30" i="43"/>
  <c r="I57" i="47" s="1"/>
  <c r="U26" i="43"/>
  <c r="I46" i="47" s="1"/>
  <c r="U18" i="43"/>
  <c r="I24" i="47" s="1"/>
  <c r="I26" i="47" s="1"/>
  <c r="I29" i="47" s="1"/>
  <c r="U34" i="43"/>
  <c r="I68" i="47" s="1"/>
  <c r="U14" i="43"/>
  <c r="I13" i="47" s="1"/>
  <c r="AG14" i="43"/>
  <c r="G13" i="51" s="1"/>
  <c r="AG34" i="43"/>
  <c r="G68" i="51" s="1"/>
  <c r="AG26" i="43"/>
  <c r="G46" i="51" s="1"/>
  <c r="AG18" i="43"/>
  <c r="G24" i="51" s="1"/>
  <c r="AG30" i="43"/>
  <c r="G57" i="51" s="1"/>
  <c r="BJ34" i="43"/>
  <c r="G68" i="58" s="1"/>
  <c r="BJ26" i="43"/>
  <c r="G46" i="58" s="1"/>
  <c r="BJ18" i="43"/>
  <c r="G24" i="58" s="1"/>
  <c r="BJ30" i="43"/>
  <c r="G57" i="58" s="1"/>
  <c r="BJ14" i="43"/>
  <c r="G13" i="58" s="1"/>
  <c r="AV34" i="43"/>
  <c r="G68" i="54" s="1"/>
  <c r="AV14" i="43"/>
  <c r="G13" i="54" s="1"/>
  <c r="AV30" i="43"/>
  <c r="G57" i="54" s="1"/>
  <c r="AV18" i="43"/>
  <c r="G24" i="54" s="1"/>
  <c r="AV26" i="43"/>
  <c r="G46" i="54" s="1"/>
  <c r="G12" i="66"/>
  <c r="G15" i="66" s="1"/>
  <c r="G18" i="66" s="1"/>
  <c r="I17" i="60" s="1"/>
  <c r="S18" i="43"/>
  <c r="G24" i="47" s="1"/>
  <c r="S34" i="43"/>
  <c r="G68" i="47" s="1"/>
  <c r="S30" i="43"/>
  <c r="G57" i="47" s="1"/>
  <c r="S26" i="43"/>
  <c r="G46" i="47" s="1"/>
  <c r="G48" i="47" s="1"/>
  <c r="G51" i="47" s="1"/>
  <c r="S14" i="43"/>
  <c r="G13" i="47" s="1"/>
  <c r="G15" i="47" s="1"/>
  <c r="F12" i="72"/>
  <c r="I103" i="59"/>
  <c r="N103" i="59"/>
  <c r="J103" i="59"/>
  <c r="K103" i="59"/>
  <c r="N103" i="55"/>
  <c r="J103" i="55"/>
  <c r="L103" i="55"/>
  <c r="K103" i="55"/>
  <c r="I103" i="55"/>
  <c r="J103" i="52"/>
  <c r="H103" i="52"/>
  <c r="I103" i="52"/>
  <c r="M103" i="52"/>
  <c r="L103" i="52"/>
  <c r="L103" i="49"/>
  <c r="H103" i="49"/>
  <c r="G103" i="49"/>
  <c r="N103" i="49"/>
  <c r="O26" i="47"/>
  <c r="O29" i="47" s="1"/>
  <c r="M26" i="47"/>
  <c r="M29" i="47" s="1"/>
  <c r="N26" i="47"/>
  <c r="N29" i="47" s="1"/>
  <c r="J13" i="40"/>
  <c r="AJ30" i="43" l="1"/>
  <c r="J57" i="51" s="1"/>
  <c r="AJ14" i="43"/>
  <c r="J13" i="51" s="1"/>
  <c r="AJ34" i="43"/>
  <c r="J68" i="51" s="1"/>
  <c r="AJ26" i="43"/>
  <c r="J46" i="51" s="1"/>
  <c r="AJ18" i="43"/>
  <c r="J24" i="51" s="1"/>
  <c r="BM30" i="43"/>
  <c r="J57" i="58" s="1"/>
  <c r="BM14" i="43"/>
  <c r="J13" i="58" s="1"/>
  <c r="BM34" i="43"/>
  <c r="J68" i="58" s="1"/>
  <c r="BM26" i="43"/>
  <c r="J46" i="58" s="1"/>
  <c r="BM18" i="43"/>
  <c r="J24" i="58" s="1"/>
  <c r="AY34" i="43"/>
  <c r="J68" i="54" s="1"/>
  <c r="AY18" i="43"/>
  <c r="J24" i="54" s="1"/>
  <c r="AY30" i="43"/>
  <c r="J57" i="54" s="1"/>
  <c r="J12" i="66"/>
  <c r="J15" i="66" s="1"/>
  <c r="J18" i="66" s="1"/>
  <c r="I19" i="60" s="1"/>
  <c r="AY14" i="43"/>
  <c r="J13" i="54" s="1"/>
  <c r="AY26" i="43"/>
  <c r="J46" i="54" s="1"/>
  <c r="V26" i="43"/>
  <c r="J46" i="47" s="1"/>
  <c r="V34" i="43"/>
  <c r="J68" i="47" s="1"/>
  <c r="V30" i="43"/>
  <c r="J57" i="47" s="1"/>
  <c r="V18" i="43"/>
  <c r="J24" i="47" s="1"/>
  <c r="V14" i="43"/>
  <c r="J13" i="47" s="1"/>
  <c r="R11" i="72"/>
  <c r="R12" i="72" s="1"/>
  <c r="K11" i="72"/>
  <c r="K12" i="72" s="1"/>
  <c r="O11" i="72"/>
  <c r="O12" i="72" s="1"/>
  <c r="N11" i="72"/>
  <c r="N12" i="72" s="1"/>
  <c r="Q11" i="72"/>
  <c r="Q12" i="72" s="1"/>
  <c r="S11" i="72"/>
  <c r="S12" i="72" s="1"/>
  <c r="L11" i="72"/>
  <c r="L12" i="72" s="1"/>
  <c r="P11" i="72"/>
  <c r="P12" i="72" s="1"/>
  <c r="M11" i="72"/>
  <c r="M12" i="72" s="1"/>
  <c r="J11" i="72"/>
  <c r="G12" i="72"/>
  <c r="G18" i="47"/>
  <c r="K25" i="51"/>
  <c r="K26" i="51" s="1"/>
  <c r="K29" i="51" s="1"/>
  <c r="K25" i="54"/>
  <c r="K26" i="54" s="1"/>
  <c r="K29" i="54" s="1"/>
  <c r="K25" i="58"/>
  <c r="K26" i="58" s="1"/>
  <c r="K29" i="58" s="1"/>
  <c r="K25" i="47"/>
  <c r="K26" i="47" s="1"/>
  <c r="K29" i="47" s="1"/>
  <c r="L26" i="47"/>
  <c r="L29" i="47" s="1"/>
  <c r="G26" i="47"/>
  <c r="G29" i="47" s="1"/>
  <c r="K103" i="49"/>
  <c r="I103" i="49"/>
  <c r="O103" i="52"/>
  <c r="G103" i="52"/>
  <c r="H103" i="55"/>
  <c r="O103" i="55"/>
  <c r="O103" i="59"/>
  <c r="H103" i="59"/>
  <c r="M103" i="59"/>
  <c r="H13" i="49"/>
  <c r="J26" i="47"/>
  <c r="J29" i="47" s="1"/>
  <c r="H26" i="47"/>
  <c r="H29" i="47" s="1"/>
  <c r="J103" i="49"/>
  <c r="O103" i="49"/>
  <c r="M103" i="49"/>
  <c r="K103" i="52"/>
  <c r="N103" i="52"/>
  <c r="G103" i="55"/>
  <c r="M103" i="55"/>
  <c r="L103" i="59"/>
  <c r="G103" i="59"/>
  <c r="G59" i="47"/>
  <c r="G62" i="47" s="1"/>
  <c r="G13" i="49"/>
  <c r="M16" i="52"/>
  <c r="I16" i="52"/>
  <c r="L25" i="52"/>
  <c r="H25" i="52"/>
  <c r="O25" i="52"/>
  <c r="M34" i="52"/>
  <c r="K34" i="52"/>
  <c r="J43" i="52"/>
  <c r="G43" i="52"/>
  <c r="M52" i="52"/>
  <c r="L52" i="52"/>
  <c r="H61" i="52"/>
  <c r="K16" i="52"/>
  <c r="G25" i="52"/>
  <c r="N34" i="52"/>
  <c r="H43" i="52"/>
  <c r="J52" i="52"/>
  <c r="I61" i="52"/>
  <c r="J61" i="52"/>
  <c r="N16" i="52"/>
  <c r="J25" i="52"/>
  <c r="L34" i="52"/>
  <c r="L43" i="52"/>
  <c r="O43" i="52"/>
  <c r="K52" i="52"/>
  <c r="G61" i="52"/>
  <c r="O61" i="52"/>
  <c r="I70" i="52"/>
  <c r="H70" i="52"/>
  <c r="N70" i="52"/>
  <c r="K70" i="52"/>
  <c r="L79" i="52"/>
  <c r="M79" i="52"/>
  <c r="N79" i="52"/>
  <c r="G79" i="52"/>
  <c r="O79" i="52"/>
  <c r="G88" i="52"/>
  <c r="O88" i="52"/>
  <c r="M88" i="52"/>
  <c r="H97" i="52"/>
  <c r="J97" i="52"/>
  <c r="G97" i="52"/>
  <c r="O97" i="52"/>
  <c r="N115" i="52"/>
  <c r="J106" i="52"/>
  <c r="H115" i="52"/>
  <c r="L124" i="52"/>
  <c r="L88" i="52"/>
  <c r="L97" i="52"/>
  <c r="G106" i="52"/>
  <c r="N124" i="52"/>
  <c r="K16" i="55"/>
  <c r="O124" i="52"/>
  <c r="N16" i="55"/>
  <c r="J25" i="55"/>
  <c r="M34" i="55"/>
  <c r="G25" i="55"/>
  <c r="I34" i="55"/>
  <c r="L43" i="55"/>
  <c r="H43" i="55"/>
  <c r="O43" i="55"/>
  <c r="J52" i="55"/>
  <c r="L16" i="52"/>
  <c r="H16" i="52"/>
  <c r="O16" i="52"/>
  <c r="N25" i="52"/>
  <c r="K25" i="52"/>
  <c r="I34" i="52"/>
  <c r="G34" i="52"/>
  <c r="M43" i="52"/>
  <c r="I43" i="52"/>
  <c r="I52" i="52"/>
  <c r="N52" i="52"/>
  <c r="O52" i="52"/>
  <c r="M61" i="52"/>
  <c r="K61" i="52"/>
  <c r="M70" i="52"/>
  <c r="G70" i="52"/>
  <c r="I79" i="52"/>
  <c r="H79" i="52"/>
  <c r="J88" i="52"/>
  <c r="H88" i="52"/>
  <c r="N88" i="52"/>
  <c r="N97" i="52"/>
  <c r="K97" i="52"/>
  <c r="H106" i="52"/>
  <c r="K115" i="52"/>
  <c r="M124" i="52"/>
  <c r="M16" i="55"/>
  <c r="L25" i="55"/>
  <c r="O25" i="55"/>
  <c r="K34" i="55"/>
  <c r="G43" i="55"/>
  <c r="L52" i="55"/>
  <c r="K52" i="55"/>
  <c r="J16" i="52"/>
  <c r="G16" i="52"/>
  <c r="M25" i="52"/>
  <c r="I25" i="52"/>
  <c r="H34" i="52"/>
  <c r="J34" i="52"/>
  <c r="O34" i="52"/>
  <c r="N43" i="52"/>
  <c r="K43" i="52"/>
  <c r="H52" i="52"/>
  <c r="G52" i="52"/>
  <c r="L61" i="52"/>
  <c r="N61" i="52"/>
  <c r="L70" i="52"/>
  <c r="J70" i="52"/>
  <c r="O70" i="52"/>
  <c r="J79" i="52"/>
  <c r="K79" i="52"/>
  <c r="K88" i="52"/>
  <c r="I88" i="52"/>
  <c r="M97" i="52"/>
  <c r="I97" i="52"/>
  <c r="L106" i="52"/>
  <c r="O106" i="52"/>
  <c r="I115" i="52"/>
  <c r="G124" i="52"/>
  <c r="I16" i="55"/>
  <c r="H25" i="55"/>
  <c r="N34" i="55"/>
  <c r="J43" i="55"/>
  <c r="I52" i="55"/>
  <c r="H61" i="55"/>
  <c r="G61" i="55"/>
  <c r="I61" i="55"/>
  <c r="O61" i="55"/>
  <c r="J61" i="55"/>
  <c r="I70" i="55"/>
  <c r="J70" i="55"/>
  <c r="H70" i="55"/>
  <c r="N106" i="52"/>
  <c r="K106" i="52"/>
  <c r="G115" i="52"/>
  <c r="L115" i="52"/>
  <c r="I124" i="52"/>
  <c r="H124" i="52"/>
  <c r="L16" i="55"/>
  <c r="H16" i="55"/>
  <c r="O16" i="55"/>
  <c r="N25" i="55"/>
  <c r="K25" i="55"/>
  <c r="J34" i="55"/>
  <c r="G34" i="55"/>
  <c r="M43" i="55"/>
  <c r="I43" i="55"/>
  <c r="H52" i="55"/>
  <c r="N52" i="55"/>
  <c r="O52" i="55"/>
  <c r="L61" i="55"/>
  <c r="N61" i="55"/>
  <c r="M70" i="55"/>
  <c r="G70" i="55"/>
  <c r="K70" i="55"/>
  <c r="M106" i="52"/>
  <c r="I106" i="52"/>
  <c r="J115" i="52"/>
  <c r="O115" i="52"/>
  <c r="M115" i="52"/>
  <c r="J124" i="52"/>
  <c r="K124" i="52"/>
  <c r="J16" i="55"/>
  <c r="G16" i="55"/>
  <c r="M25" i="55"/>
  <c r="I25" i="55"/>
  <c r="H34" i="55"/>
  <c r="L34" i="55"/>
  <c r="O34" i="55"/>
  <c r="N43" i="55"/>
  <c r="K43" i="55"/>
  <c r="M52" i="55"/>
  <c r="G52" i="55"/>
  <c r="K61" i="55"/>
  <c r="M61" i="55"/>
  <c r="L70" i="55"/>
  <c r="N70" i="55"/>
  <c r="L79" i="55"/>
  <c r="O70" i="55"/>
  <c r="I79" i="55"/>
  <c r="M79" i="55"/>
  <c r="J79" i="55"/>
  <c r="N79" i="55"/>
  <c r="H79" i="55"/>
  <c r="G79" i="55"/>
  <c r="K79" i="55"/>
  <c r="O79" i="55"/>
  <c r="L88" i="55"/>
  <c r="I88" i="55"/>
  <c r="M88" i="55"/>
  <c r="J88" i="55"/>
  <c r="N88" i="55"/>
  <c r="H88" i="55"/>
  <c r="G88" i="55"/>
  <c r="K88" i="55"/>
  <c r="O88" i="55"/>
  <c r="H97" i="55"/>
  <c r="I97" i="55"/>
  <c r="M97" i="55"/>
  <c r="J97" i="55"/>
  <c r="N97" i="55"/>
  <c r="L97" i="55"/>
  <c r="G97" i="55"/>
  <c r="K97" i="55"/>
  <c r="O97" i="55"/>
  <c r="L106" i="55"/>
  <c r="I106" i="55"/>
  <c r="M106" i="55"/>
  <c r="H106" i="55"/>
  <c r="J106" i="55"/>
  <c r="N106" i="55"/>
  <c r="G106" i="55"/>
  <c r="K106" i="55"/>
  <c r="O106" i="55"/>
  <c r="L115" i="55"/>
  <c r="I115" i="55"/>
  <c r="M115" i="55"/>
  <c r="H115" i="55"/>
  <c r="J115" i="55"/>
  <c r="N115" i="55"/>
  <c r="G115" i="55"/>
  <c r="K115" i="55"/>
  <c r="O115" i="55"/>
  <c r="H124" i="55"/>
  <c r="L124" i="55"/>
  <c r="I124" i="55"/>
  <c r="M124" i="55"/>
  <c r="J124" i="55"/>
  <c r="G124" i="55"/>
  <c r="N124" i="55"/>
  <c r="K124" i="55"/>
  <c r="H16" i="59"/>
  <c r="O124" i="55"/>
  <c r="L16" i="59"/>
  <c r="I16" i="59"/>
  <c r="M16" i="59"/>
  <c r="J16" i="59"/>
  <c r="N16" i="59"/>
  <c r="G16" i="59"/>
  <c r="O16" i="59"/>
  <c r="K16" i="59"/>
  <c r="I25" i="59"/>
  <c r="M25" i="59"/>
  <c r="H25" i="59"/>
  <c r="N25" i="59"/>
  <c r="G25" i="59"/>
  <c r="K25" i="59"/>
  <c r="H34" i="59"/>
  <c r="M34" i="59"/>
  <c r="J34" i="59"/>
  <c r="L34" i="59"/>
  <c r="I34" i="59"/>
  <c r="G34" i="59"/>
  <c r="O34" i="59"/>
  <c r="L43" i="59"/>
  <c r="I43" i="59"/>
  <c r="H43" i="59"/>
  <c r="J43" i="59"/>
  <c r="N43" i="59"/>
  <c r="K43" i="59"/>
  <c r="O43" i="59"/>
  <c r="L52" i="59"/>
  <c r="J52" i="59"/>
  <c r="N52" i="59"/>
  <c r="H52" i="59"/>
  <c r="G52" i="59"/>
  <c r="K52" i="59"/>
  <c r="O52" i="59"/>
  <c r="M61" i="59"/>
  <c r="J61" i="59"/>
  <c r="N61" i="59"/>
  <c r="I61" i="59"/>
  <c r="G61" i="59"/>
  <c r="K61" i="59"/>
  <c r="L70" i="59"/>
  <c r="I70" i="59"/>
  <c r="M70" i="59"/>
  <c r="J70" i="59"/>
  <c r="N70" i="59"/>
  <c r="G70" i="59"/>
  <c r="O70" i="59"/>
  <c r="L79" i="59"/>
  <c r="I79" i="59"/>
  <c r="J79" i="59"/>
  <c r="N79" i="59"/>
  <c r="H79" i="59"/>
  <c r="L88" i="59"/>
  <c r="K79" i="59"/>
  <c r="O79" i="59"/>
  <c r="H88" i="59"/>
  <c r="J88" i="59"/>
  <c r="N88" i="59"/>
  <c r="L97" i="59"/>
  <c r="O88" i="59"/>
  <c r="M97" i="59"/>
  <c r="N97" i="59"/>
  <c r="G97" i="59"/>
  <c r="I106" i="59"/>
  <c r="K97" i="59"/>
  <c r="N106" i="59"/>
  <c r="L106" i="59"/>
  <c r="G106" i="59"/>
  <c r="K106" i="59"/>
  <c r="H115" i="59"/>
  <c r="I115" i="59"/>
  <c r="J115" i="59"/>
  <c r="N115" i="59"/>
  <c r="O115" i="59"/>
  <c r="H124" i="59"/>
  <c r="L124" i="59"/>
  <c r="J124" i="59"/>
  <c r="N124" i="59"/>
  <c r="K124" i="59"/>
  <c r="L25" i="59"/>
  <c r="J25" i="59"/>
  <c r="O25" i="59"/>
  <c r="N34" i="59"/>
  <c r="K34" i="59"/>
  <c r="M43" i="59"/>
  <c r="G43" i="59"/>
  <c r="M52" i="59"/>
  <c r="I52" i="59"/>
  <c r="L61" i="59"/>
  <c r="H61" i="59"/>
  <c r="O61" i="59"/>
  <c r="H70" i="59"/>
  <c r="K70" i="59"/>
  <c r="M79" i="59"/>
  <c r="G79" i="59"/>
  <c r="I88" i="59"/>
  <c r="K88" i="59"/>
  <c r="J97" i="59"/>
  <c r="O97" i="59"/>
  <c r="J106" i="59"/>
  <c r="L115" i="59"/>
  <c r="G115" i="59"/>
  <c r="M124" i="59"/>
  <c r="O124" i="59"/>
  <c r="M88" i="59"/>
  <c r="G88" i="59"/>
  <c r="I97" i="59"/>
  <c r="H97" i="59"/>
  <c r="H106" i="59"/>
  <c r="M106" i="59"/>
  <c r="O106" i="59"/>
  <c r="M115" i="59"/>
  <c r="K115" i="59"/>
  <c r="I124" i="59"/>
  <c r="G124" i="59"/>
  <c r="D23" i="60"/>
  <c r="I23" i="60" s="1"/>
  <c r="D51" i="60"/>
  <c r="K68" i="58"/>
  <c r="K70" i="58" s="1"/>
  <c r="K73" i="58" s="1"/>
  <c r="K57" i="58"/>
  <c r="K59" i="58" s="1"/>
  <c r="K62" i="58" s="1"/>
  <c r="K68" i="47"/>
  <c r="K70" i="47" s="1"/>
  <c r="K73" i="47" s="1"/>
  <c r="K46" i="54"/>
  <c r="K48" i="54" s="1"/>
  <c r="K51" i="54" s="1"/>
  <c r="K13" i="51"/>
  <c r="K15" i="51" s="1"/>
  <c r="K46" i="58"/>
  <c r="K48" i="58" s="1"/>
  <c r="K51" i="58" s="1"/>
  <c r="K13" i="54"/>
  <c r="K15" i="54" s="1"/>
  <c r="K68" i="51"/>
  <c r="K70" i="51" s="1"/>
  <c r="K73" i="51" s="1"/>
  <c r="K13" i="58"/>
  <c r="K15" i="58" s="1"/>
  <c r="K68" i="54"/>
  <c r="K70" i="54" s="1"/>
  <c r="K73" i="54" s="1"/>
  <c r="K57" i="54"/>
  <c r="K59" i="54" s="1"/>
  <c r="K62" i="54" s="1"/>
  <c r="K13" i="47"/>
  <c r="K15" i="47" s="1"/>
  <c r="K57" i="47"/>
  <c r="K59" i="47" s="1"/>
  <c r="K62" i="47" s="1"/>
  <c r="K46" i="47"/>
  <c r="K48" i="47" s="1"/>
  <c r="K51" i="47" s="1"/>
  <c r="D75" i="60"/>
  <c r="D39" i="60"/>
  <c r="D63" i="60"/>
  <c r="O121" i="59"/>
  <c r="K121" i="59"/>
  <c r="G121" i="59"/>
  <c r="N121" i="59"/>
  <c r="J121" i="59"/>
  <c r="H121" i="59"/>
  <c r="M121" i="59"/>
  <c r="I121" i="59"/>
  <c r="L121" i="59"/>
  <c r="O112" i="59"/>
  <c r="N112" i="59"/>
  <c r="M112" i="59"/>
  <c r="I112" i="59"/>
  <c r="L112" i="59"/>
  <c r="H112" i="59"/>
  <c r="K112" i="59"/>
  <c r="G112" i="59"/>
  <c r="J112" i="59"/>
  <c r="O94" i="59"/>
  <c r="K94" i="59"/>
  <c r="G94" i="59"/>
  <c r="H94" i="59"/>
  <c r="N94" i="59"/>
  <c r="J94" i="59"/>
  <c r="M94" i="59"/>
  <c r="I94" i="59"/>
  <c r="L94" i="59"/>
  <c r="M85" i="59"/>
  <c r="I85" i="59"/>
  <c r="L85" i="59"/>
  <c r="H85" i="59"/>
  <c r="O85" i="59"/>
  <c r="K85" i="59"/>
  <c r="G85" i="59"/>
  <c r="N85" i="59"/>
  <c r="J85" i="59"/>
  <c r="O76" i="59"/>
  <c r="K76" i="59"/>
  <c r="G76" i="59"/>
  <c r="I76" i="59"/>
  <c r="H76" i="59"/>
  <c r="N76" i="59"/>
  <c r="J76" i="59"/>
  <c r="M76" i="59"/>
  <c r="L76" i="59"/>
  <c r="O67" i="59"/>
  <c r="K67" i="59"/>
  <c r="G67" i="59"/>
  <c r="H67" i="59"/>
  <c r="N67" i="59"/>
  <c r="J67" i="59"/>
  <c r="M67" i="59"/>
  <c r="I67" i="59"/>
  <c r="L67" i="59"/>
  <c r="O58" i="59"/>
  <c r="K58" i="59"/>
  <c r="G58" i="59"/>
  <c r="N58" i="59"/>
  <c r="J58" i="59"/>
  <c r="H58" i="59"/>
  <c r="M58" i="59"/>
  <c r="I58" i="59"/>
  <c r="L58" i="59"/>
  <c r="O49" i="59"/>
  <c r="K49" i="59"/>
  <c r="G49" i="59"/>
  <c r="N49" i="59"/>
  <c r="J49" i="59"/>
  <c r="H49" i="59"/>
  <c r="M49" i="59"/>
  <c r="I49" i="59"/>
  <c r="L49" i="59"/>
  <c r="O40" i="59"/>
  <c r="K40" i="59"/>
  <c r="G40" i="59"/>
  <c r="N40" i="59"/>
  <c r="J40" i="59"/>
  <c r="H40" i="59"/>
  <c r="M40" i="59"/>
  <c r="I40" i="59"/>
  <c r="L40" i="59"/>
  <c r="O31" i="59"/>
  <c r="K31" i="59"/>
  <c r="G31" i="59"/>
  <c r="I31" i="59"/>
  <c r="H31" i="59"/>
  <c r="N31" i="59"/>
  <c r="J31" i="59"/>
  <c r="M31" i="59"/>
  <c r="L31" i="59"/>
  <c r="N22" i="59"/>
  <c r="J22" i="59"/>
  <c r="H22" i="59"/>
  <c r="O22" i="59"/>
  <c r="M22" i="59"/>
  <c r="I22" i="59"/>
  <c r="L22" i="59"/>
  <c r="K22" i="59"/>
  <c r="G22" i="59"/>
  <c r="M13" i="59"/>
  <c r="I13" i="59"/>
  <c r="L13" i="59"/>
  <c r="H13" i="59"/>
  <c r="O13" i="59"/>
  <c r="K13" i="59"/>
  <c r="G13" i="59"/>
  <c r="N13" i="59"/>
  <c r="J13" i="59"/>
  <c r="M70" i="58"/>
  <c r="M73" i="58" s="1"/>
  <c r="I70" i="58"/>
  <c r="I73" i="58" s="1"/>
  <c r="L70" i="58"/>
  <c r="L73" i="58" s="1"/>
  <c r="H70" i="58"/>
  <c r="H73" i="58" s="1"/>
  <c r="O70" i="58"/>
  <c r="O73" i="58" s="1"/>
  <c r="G70" i="58"/>
  <c r="G73" i="58" s="1"/>
  <c r="N70" i="58"/>
  <c r="N73" i="58" s="1"/>
  <c r="J70" i="58"/>
  <c r="J73" i="58" s="1"/>
  <c r="O59" i="58"/>
  <c r="O62" i="58" s="1"/>
  <c r="G59" i="58"/>
  <c r="G62" i="58" s="1"/>
  <c r="N59" i="58"/>
  <c r="N62" i="58" s="1"/>
  <c r="J59" i="58"/>
  <c r="J62" i="58" s="1"/>
  <c r="L59" i="58"/>
  <c r="L62" i="58" s="1"/>
  <c r="M59" i="58"/>
  <c r="M62" i="58" s="1"/>
  <c r="I59" i="58"/>
  <c r="I62" i="58" s="1"/>
  <c r="H59" i="58"/>
  <c r="H62" i="58" s="1"/>
  <c r="O48" i="58"/>
  <c r="O51" i="58" s="1"/>
  <c r="G48" i="58"/>
  <c r="G51" i="58" s="1"/>
  <c r="H48" i="58"/>
  <c r="H51" i="58" s="1"/>
  <c r="N48" i="58"/>
  <c r="N51" i="58" s="1"/>
  <c r="J48" i="58"/>
  <c r="J51" i="58" s="1"/>
  <c r="M48" i="58"/>
  <c r="M51" i="58" s="1"/>
  <c r="I48" i="58"/>
  <c r="I51" i="58" s="1"/>
  <c r="L48" i="58"/>
  <c r="L51" i="58" s="1"/>
  <c r="M26" i="58"/>
  <c r="M29" i="58" s="1"/>
  <c r="I26" i="58"/>
  <c r="I29" i="58" s="1"/>
  <c r="G26" i="58"/>
  <c r="G29" i="58" s="1"/>
  <c r="L26" i="58"/>
  <c r="L29" i="58" s="1"/>
  <c r="H26" i="58"/>
  <c r="H29" i="58" s="1"/>
  <c r="O26" i="58"/>
  <c r="O29" i="58" s="1"/>
  <c r="N26" i="58"/>
  <c r="N29" i="58" s="1"/>
  <c r="J26" i="58"/>
  <c r="J29" i="58" s="1"/>
  <c r="O15" i="58"/>
  <c r="G15" i="58"/>
  <c r="N15" i="58"/>
  <c r="J15" i="58"/>
  <c r="H15" i="58"/>
  <c r="M15" i="58"/>
  <c r="I15" i="58"/>
  <c r="L15" i="58"/>
  <c r="O121" i="55"/>
  <c r="K121" i="55"/>
  <c r="G121" i="55"/>
  <c r="N121" i="55"/>
  <c r="J121" i="55"/>
  <c r="H121" i="55"/>
  <c r="M121" i="55"/>
  <c r="I121" i="55"/>
  <c r="L121" i="55"/>
  <c r="O112" i="55"/>
  <c r="K112" i="55"/>
  <c r="G112" i="55"/>
  <c r="H112" i="55"/>
  <c r="N112" i="55"/>
  <c r="J112" i="55"/>
  <c r="M112" i="55"/>
  <c r="I112" i="55"/>
  <c r="L112" i="55"/>
  <c r="O94" i="55"/>
  <c r="K94" i="55"/>
  <c r="G94" i="55"/>
  <c r="H94" i="55"/>
  <c r="N94" i="55"/>
  <c r="J94" i="55"/>
  <c r="M94" i="55"/>
  <c r="I94" i="55"/>
  <c r="L94" i="55"/>
  <c r="O85" i="55"/>
  <c r="K85" i="55"/>
  <c r="G85" i="55"/>
  <c r="H85" i="55"/>
  <c r="N85" i="55"/>
  <c r="J85" i="55"/>
  <c r="M85" i="55"/>
  <c r="I85" i="55"/>
  <c r="L85" i="55"/>
  <c r="N76" i="55"/>
  <c r="J76" i="55"/>
  <c r="H76" i="55"/>
  <c r="K76" i="55"/>
  <c r="M76" i="55"/>
  <c r="I76" i="55"/>
  <c r="L76" i="55"/>
  <c r="O76" i="55"/>
  <c r="G76" i="55"/>
  <c r="M67" i="55"/>
  <c r="I67" i="55"/>
  <c r="L67" i="55"/>
  <c r="H67" i="55"/>
  <c r="O67" i="55"/>
  <c r="K67" i="55"/>
  <c r="G67" i="55"/>
  <c r="N67" i="55"/>
  <c r="J67" i="55"/>
  <c r="O58" i="55"/>
  <c r="K58" i="55"/>
  <c r="G58" i="55"/>
  <c r="N58" i="55"/>
  <c r="J58" i="55"/>
  <c r="H58" i="55"/>
  <c r="M58" i="55"/>
  <c r="I58" i="55"/>
  <c r="L58" i="55"/>
  <c r="O49" i="55"/>
  <c r="K49" i="55"/>
  <c r="G49" i="55"/>
  <c r="H49" i="55"/>
  <c r="N49" i="55"/>
  <c r="J49" i="55"/>
  <c r="M49" i="55"/>
  <c r="I49" i="55"/>
  <c r="L49" i="55"/>
  <c r="O40" i="55"/>
  <c r="K40" i="55"/>
  <c r="G40" i="55"/>
  <c r="N40" i="55"/>
  <c r="J40" i="55"/>
  <c r="H40" i="55"/>
  <c r="M40" i="55"/>
  <c r="I40" i="55"/>
  <c r="L40" i="55"/>
  <c r="O31" i="55"/>
  <c r="K31" i="55"/>
  <c r="G31" i="55"/>
  <c r="N31" i="55"/>
  <c r="J31" i="55"/>
  <c r="H31" i="55"/>
  <c r="M31" i="55"/>
  <c r="I31" i="55"/>
  <c r="L31" i="55"/>
  <c r="G22" i="55"/>
  <c r="J22" i="55"/>
  <c r="N22" i="55"/>
  <c r="K22" i="55"/>
  <c r="O22" i="55"/>
  <c r="H22" i="55"/>
  <c r="L22" i="55"/>
  <c r="I22" i="55"/>
  <c r="M22" i="55"/>
  <c r="O13" i="55"/>
  <c r="K13" i="55"/>
  <c r="G13" i="55"/>
  <c r="H13" i="55"/>
  <c r="N13" i="55"/>
  <c r="J13" i="55"/>
  <c r="M13" i="55"/>
  <c r="I13" i="55"/>
  <c r="L13" i="55"/>
  <c r="G70" i="54"/>
  <c r="G73" i="54" s="1"/>
  <c r="H70" i="54"/>
  <c r="H73" i="54" s="1"/>
  <c r="L70" i="54"/>
  <c r="L73" i="54" s="1"/>
  <c r="I70" i="54"/>
  <c r="I73" i="54" s="1"/>
  <c r="M70" i="54"/>
  <c r="M73" i="54" s="1"/>
  <c r="O70" i="54"/>
  <c r="O73" i="54" s="1"/>
  <c r="J70" i="54"/>
  <c r="J73" i="54" s="1"/>
  <c r="N70" i="54"/>
  <c r="N73" i="54" s="1"/>
  <c r="J59" i="54"/>
  <c r="J62" i="54" s="1"/>
  <c r="N59" i="54"/>
  <c r="N62" i="54" s="1"/>
  <c r="O59" i="54"/>
  <c r="O62" i="54" s="1"/>
  <c r="H59" i="54"/>
  <c r="H62" i="54" s="1"/>
  <c r="L59" i="54"/>
  <c r="L62" i="54" s="1"/>
  <c r="I59" i="54"/>
  <c r="I62" i="54" s="1"/>
  <c r="M59" i="54"/>
  <c r="M62" i="54" s="1"/>
  <c r="G59" i="54"/>
  <c r="G62" i="54" s="1"/>
  <c r="G48" i="54"/>
  <c r="G51" i="54" s="1"/>
  <c r="H48" i="54"/>
  <c r="H51" i="54" s="1"/>
  <c r="L48" i="54"/>
  <c r="L51" i="54" s="1"/>
  <c r="I48" i="54"/>
  <c r="I51" i="54" s="1"/>
  <c r="M48" i="54"/>
  <c r="M51" i="54" s="1"/>
  <c r="O48" i="54"/>
  <c r="O51" i="54" s="1"/>
  <c r="J48" i="54"/>
  <c r="J51" i="54" s="1"/>
  <c r="N48" i="54"/>
  <c r="N51" i="54" s="1"/>
  <c r="G26" i="54"/>
  <c r="G29" i="54" s="1"/>
  <c r="H26" i="54"/>
  <c r="H29" i="54" s="1"/>
  <c r="L26" i="54"/>
  <c r="L29" i="54" s="1"/>
  <c r="I26" i="54"/>
  <c r="I29" i="54" s="1"/>
  <c r="M26" i="54"/>
  <c r="M29" i="54" s="1"/>
  <c r="O26" i="54"/>
  <c r="O29" i="54" s="1"/>
  <c r="J26" i="54"/>
  <c r="J29" i="54" s="1"/>
  <c r="N26" i="54"/>
  <c r="N29" i="54" s="1"/>
  <c r="O15" i="54"/>
  <c r="G15" i="54"/>
  <c r="N15" i="54"/>
  <c r="J15" i="54"/>
  <c r="H15" i="54"/>
  <c r="M15" i="54"/>
  <c r="I15" i="54"/>
  <c r="L15" i="54"/>
  <c r="G121" i="52"/>
  <c r="J121" i="52"/>
  <c r="N121" i="52"/>
  <c r="K121" i="52"/>
  <c r="O121" i="52"/>
  <c r="H121" i="52"/>
  <c r="L121" i="52"/>
  <c r="I121" i="52"/>
  <c r="M121" i="52"/>
  <c r="G112" i="52"/>
  <c r="H112" i="52"/>
  <c r="L112" i="52"/>
  <c r="N112" i="52"/>
  <c r="O112" i="52"/>
  <c r="I112" i="52"/>
  <c r="M112" i="52"/>
  <c r="J112" i="52"/>
  <c r="K112" i="52"/>
  <c r="G94" i="52"/>
  <c r="H94" i="52"/>
  <c r="L94" i="52"/>
  <c r="O94" i="52"/>
  <c r="I94" i="52"/>
  <c r="M94" i="52"/>
  <c r="J94" i="52"/>
  <c r="N94" i="52"/>
  <c r="K94" i="52"/>
  <c r="G85" i="52"/>
  <c r="H85" i="52"/>
  <c r="L85" i="52"/>
  <c r="I85" i="52"/>
  <c r="M85" i="52"/>
  <c r="J85" i="52"/>
  <c r="N85" i="52"/>
  <c r="K85" i="52"/>
  <c r="O85" i="52"/>
  <c r="G76" i="52"/>
  <c r="J76" i="52"/>
  <c r="N76" i="52"/>
  <c r="K76" i="52"/>
  <c r="O76" i="52"/>
  <c r="H76" i="52"/>
  <c r="L76" i="52"/>
  <c r="I76" i="52"/>
  <c r="M76" i="52"/>
  <c r="G67" i="52"/>
  <c r="H67" i="52"/>
  <c r="L67" i="52"/>
  <c r="N67" i="52"/>
  <c r="K67" i="52"/>
  <c r="I67" i="52"/>
  <c r="M67" i="52"/>
  <c r="J67" i="52"/>
  <c r="O67" i="52"/>
  <c r="G58" i="52"/>
  <c r="H58" i="52"/>
  <c r="L58" i="52"/>
  <c r="N58" i="52"/>
  <c r="K58" i="52"/>
  <c r="I58" i="52"/>
  <c r="M58" i="52"/>
  <c r="J58" i="52"/>
  <c r="O58" i="52"/>
  <c r="G49" i="52"/>
  <c r="I49" i="52"/>
  <c r="M49" i="52"/>
  <c r="O49" i="52"/>
  <c r="L49" i="52"/>
  <c r="J49" i="52"/>
  <c r="N49" i="52"/>
  <c r="K49" i="52"/>
  <c r="H49" i="52"/>
  <c r="G40" i="52"/>
  <c r="H40" i="52"/>
  <c r="L40" i="52"/>
  <c r="K40" i="52"/>
  <c r="O40" i="52"/>
  <c r="I40" i="52"/>
  <c r="M40" i="52"/>
  <c r="N40" i="52"/>
  <c r="J40" i="52"/>
  <c r="G31" i="52"/>
  <c r="H31" i="52"/>
  <c r="L31" i="52"/>
  <c r="I31" i="52"/>
  <c r="M31" i="52"/>
  <c r="O31" i="52"/>
  <c r="J31" i="52"/>
  <c r="N31" i="52"/>
  <c r="K31" i="52"/>
  <c r="G22" i="52"/>
  <c r="J22" i="52"/>
  <c r="N22" i="52"/>
  <c r="K22" i="52"/>
  <c r="O22" i="52"/>
  <c r="H22" i="52"/>
  <c r="L22" i="52"/>
  <c r="I22" i="52"/>
  <c r="M22" i="52"/>
  <c r="G13" i="52"/>
  <c r="H13" i="52"/>
  <c r="L13" i="52"/>
  <c r="O13" i="52"/>
  <c r="I13" i="52"/>
  <c r="M13" i="52"/>
  <c r="K13" i="52"/>
  <c r="J13" i="52"/>
  <c r="N13" i="52"/>
  <c r="G70" i="51"/>
  <c r="G73" i="51" s="1"/>
  <c r="H70" i="51"/>
  <c r="H73" i="51" s="1"/>
  <c r="L70" i="51"/>
  <c r="L73" i="51" s="1"/>
  <c r="O70" i="51"/>
  <c r="O73" i="51" s="1"/>
  <c r="I70" i="51"/>
  <c r="I73" i="51" s="1"/>
  <c r="M70" i="51"/>
  <c r="M73" i="51" s="1"/>
  <c r="J70" i="51"/>
  <c r="J73" i="51" s="1"/>
  <c r="N70" i="51"/>
  <c r="N73" i="51" s="1"/>
  <c r="G59" i="51"/>
  <c r="G62" i="51" s="1"/>
  <c r="H59" i="51"/>
  <c r="H62" i="51" s="1"/>
  <c r="L59" i="51"/>
  <c r="L62" i="51" s="1"/>
  <c r="O59" i="51"/>
  <c r="O62" i="51" s="1"/>
  <c r="I59" i="51"/>
  <c r="I62" i="51" s="1"/>
  <c r="M59" i="51"/>
  <c r="M62" i="51" s="1"/>
  <c r="J59" i="51"/>
  <c r="J62" i="51" s="1"/>
  <c r="N59" i="51"/>
  <c r="N62" i="51" s="1"/>
  <c r="G48" i="51"/>
  <c r="G51" i="51" s="1"/>
  <c r="H48" i="51"/>
  <c r="H51" i="51" s="1"/>
  <c r="L48" i="51"/>
  <c r="L51" i="51" s="1"/>
  <c r="I48" i="51"/>
  <c r="I51" i="51" s="1"/>
  <c r="M48" i="51"/>
  <c r="M51" i="51" s="1"/>
  <c r="O48" i="51"/>
  <c r="O51" i="51" s="1"/>
  <c r="J48" i="51"/>
  <c r="J51" i="51" s="1"/>
  <c r="N48" i="51"/>
  <c r="N51" i="51" s="1"/>
  <c r="G26" i="51"/>
  <c r="G29" i="51" s="1"/>
  <c r="I26" i="51"/>
  <c r="I29" i="51" s="1"/>
  <c r="M26" i="51"/>
  <c r="M29" i="51" s="1"/>
  <c r="J26" i="51"/>
  <c r="J29" i="51" s="1"/>
  <c r="N26" i="51"/>
  <c r="N29" i="51" s="1"/>
  <c r="O26" i="51"/>
  <c r="O29" i="51" s="1"/>
  <c r="H26" i="51"/>
  <c r="H29" i="51" s="1"/>
  <c r="L26" i="51"/>
  <c r="L29" i="51" s="1"/>
  <c r="G15" i="51"/>
  <c r="H15" i="51"/>
  <c r="L15" i="51"/>
  <c r="I15" i="51"/>
  <c r="M15" i="51"/>
  <c r="J15" i="51"/>
  <c r="N15" i="51"/>
  <c r="O15" i="51"/>
  <c r="G121" i="49"/>
  <c r="J121" i="49"/>
  <c r="N121" i="49"/>
  <c r="K121" i="49"/>
  <c r="O121" i="49"/>
  <c r="H121" i="49"/>
  <c r="L121" i="49"/>
  <c r="I121" i="49"/>
  <c r="M121" i="49"/>
  <c r="G112" i="49"/>
  <c r="J112" i="49"/>
  <c r="N112" i="49"/>
  <c r="K112" i="49"/>
  <c r="O112" i="49"/>
  <c r="H112" i="49"/>
  <c r="L112" i="49"/>
  <c r="I112" i="49"/>
  <c r="M112" i="49"/>
  <c r="G94" i="49"/>
  <c r="H94" i="49"/>
  <c r="L94" i="49"/>
  <c r="I94" i="49"/>
  <c r="M94" i="49"/>
  <c r="O94" i="49"/>
  <c r="J94" i="49"/>
  <c r="N94" i="49"/>
  <c r="K94" i="49"/>
  <c r="G85" i="49"/>
  <c r="H85" i="49"/>
  <c r="L85" i="49"/>
  <c r="I85" i="49"/>
  <c r="M85" i="49"/>
  <c r="O85" i="49"/>
  <c r="J85" i="49"/>
  <c r="N85" i="49"/>
  <c r="K85" i="49"/>
  <c r="G76" i="49"/>
  <c r="H76" i="49"/>
  <c r="L76" i="49"/>
  <c r="I76" i="49"/>
  <c r="M76" i="49"/>
  <c r="O76" i="49"/>
  <c r="J76" i="49"/>
  <c r="N76" i="49"/>
  <c r="K76" i="49"/>
  <c r="G67" i="49"/>
  <c r="H67" i="49"/>
  <c r="L67" i="49"/>
  <c r="N67" i="49"/>
  <c r="I67" i="49"/>
  <c r="M67" i="49"/>
  <c r="J67" i="49"/>
  <c r="K67" i="49"/>
  <c r="O67" i="49"/>
  <c r="G58" i="49"/>
  <c r="H58" i="49"/>
  <c r="L58" i="49"/>
  <c r="N58" i="49"/>
  <c r="O58" i="49"/>
  <c r="I58" i="49"/>
  <c r="M58" i="49"/>
  <c r="J58" i="49"/>
  <c r="K58" i="49"/>
  <c r="G49" i="49"/>
  <c r="J49" i="49"/>
  <c r="N49" i="49"/>
  <c r="K49" i="49"/>
  <c r="O49" i="49"/>
  <c r="H49" i="49"/>
  <c r="L49" i="49"/>
  <c r="I49" i="49"/>
  <c r="M49" i="49"/>
  <c r="G40" i="49"/>
  <c r="J40" i="49"/>
  <c r="N40" i="49"/>
  <c r="K40" i="49"/>
  <c r="O40" i="49"/>
  <c r="H40" i="49"/>
  <c r="L40" i="49"/>
  <c r="I40" i="49"/>
  <c r="M40" i="49"/>
  <c r="G31" i="49"/>
  <c r="H31" i="49"/>
  <c r="L31" i="49"/>
  <c r="O31" i="49"/>
  <c r="I31" i="49"/>
  <c r="M31" i="49"/>
  <c r="J31" i="49"/>
  <c r="N31" i="49"/>
  <c r="K31" i="49"/>
  <c r="G22" i="49"/>
  <c r="H22" i="49"/>
  <c r="L22" i="49"/>
  <c r="O22" i="49"/>
  <c r="I22" i="49"/>
  <c r="M22" i="49"/>
  <c r="J22" i="49"/>
  <c r="N22" i="49"/>
  <c r="K22" i="49"/>
  <c r="J13" i="49"/>
  <c r="N13" i="49"/>
  <c r="K13" i="49"/>
  <c r="O13" i="49"/>
  <c r="L13" i="49"/>
  <c r="I13" i="49"/>
  <c r="M13" i="49"/>
  <c r="G70" i="47"/>
  <c r="G73" i="47" s="1"/>
  <c r="H70" i="47"/>
  <c r="H73" i="47" s="1"/>
  <c r="L70" i="47"/>
  <c r="L73" i="47" s="1"/>
  <c r="N70" i="47"/>
  <c r="N73" i="47" s="1"/>
  <c r="O70" i="47"/>
  <c r="O73" i="47" s="1"/>
  <c r="I70" i="47"/>
  <c r="I73" i="47" s="1"/>
  <c r="M70" i="47"/>
  <c r="M73" i="47" s="1"/>
  <c r="J70" i="47"/>
  <c r="J73" i="47" s="1"/>
  <c r="H59" i="47"/>
  <c r="H62" i="47" s="1"/>
  <c r="L59" i="47"/>
  <c r="L62" i="47" s="1"/>
  <c r="N59" i="47"/>
  <c r="N62" i="47" s="1"/>
  <c r="O62" i="47"/>
  <c r="I59" i="47"/>
  <c r="I62" i="47" s="1"/>
  <c r="M59" i="47"/>
  <c r="M62" i="47" s="1"/>
  <c r="J59" i="47"/>
  <c r="J62" i="47" s="1"/>
  <c r="H48" i="47"/>
  <c r="H51" i="47" s="1"/>
  <c r="L48" i="47"/>
  <c r="L51" i="47" s="1"/>
  <c r="O48" i="47"/>
  <c r="O51" i="47" s="1"/>
  <c r="I48" i="47"/>
  <c r="I51" i="47" s="1"/>
  <c r="M48" i="47"/>
  <c r="M51" i="47" s="1"/>
  <c r="J48" i="47"/>
  <c r="J51" i="47" s="1"/>
  <c r="N48" i="47"/>
  <c r="N51" i="47" s="1"/>
  <c r="H15" i="47"/>
  <c r="L15" i="47"/>
  <c r="I15" i="47"/>
  <c r="M15" i="47"/>
  <c r="O15" i="47"/>
  <c r="J15" i="47"/>
  <c r="O7" i="52" l="1"/>
  <c r="J12" i="72"/>
  <c r="U11" i="72"/>
  <c r="U12" i="72" s="1"/>
  <c r="G8" i="59"/>
  <c r="I8" i="59"/>
  <c r="J8" i="55"/>
  <c r="L8" i="55"/>
  <c r="G8" i="52"/>
  <c r="M8" i="55"/>
  <c r="O8" i="52"/>
  <c r="K8" i="52"/>
  <c r="M8" i="52"/>
  <c r="N8" i="59"/>
  <c r="L8" i="59"/>
  <c r="J8" i="52"/>
  <c r="H8" i="52"/>
  <c r="K8" i="55"/>
  <c r="N8" i="52"/>
  <c r="K8" i="59"/>
  <c r="J8" i="59"/>
  <c r="O8" i="55"/>
  <c r="L8" i="52"/>
  <c r="O8" i="59"/>
  <c r="M8" i="59"/>
  <c r="H8" i="59"/>
  <c r="G8" i="55"/>
  <c r="H8" i="55"/>
  <c r="I8" i="55"/>
  <c r="N8" i="55"/>
  <c r="I8" i="52"/>
  <c r="O18" i="47"/>
  <c r="M18" i="47"/>
  <c r="H18" i="47"/>
  <c r="I18" i="47"/>
  <c r="J18" i="47"/>
  <c r="L18" i="47"/>
  <c r="K18" i="47"/>
  <c r="G7" i="59"/>
  <c r="K17" i="60"/>
  <c r="K20" i="60"/>
  <c r="K21" i="60"/>
  <c r="K19" i="60"/>
  <c r="K18" i="60"/>
  <c r="K23" i="60"/>
  <c r="J7" i="52"/>
  <c r="J7" i="55"/>
  <c r="N7" i="59"/>
  <c r="K7" i="52"/>
  <c r="L7" i="52"/>
  <c r="L7" i="55"/>
  <c r="N7" i="55"/>
  <c r="M7" i="52"/>
  <c r="H7" i="52"/>
  <c r="I7" i="55"/>
  <c r="H7" i="55"/>
  <c r="K7" i="59"/>
  <c r="I7" i="59"/>
  <c r="N7" i="52"/>
  <c r="I7" i="52"/>
  <c r="G7" i="52"/>
  <c r="M7" i="55"/>
  <c r="G7" i="55"/>
  <c r="J7" i="59"/>
  <c r="O7" i="59"/>
  <c r="M18" i="51"/>
  <c r="G18" i="51"/>
  <c r="I18" i="54"/>
  <c r="N18" i="54"/>
  <c r="K7" i="55"/>
  <c r="H18" i="58"/>
  <c r="O18" i="58"/>
  <c r="H7" i="59"/>
  <c r="O18" i="51"/>
  <c r="I18" i="51"/>
  <c r="M18" i="54"/>
  <c r="G18" i="54"/>
  <c r="O7" i="55"/>
  <c r="L18" i="58"/>
  <c r="J18" i="58"/>
  <c r="L7" i="59"/>
  <c r="K18" i="54"/>
  <c r="N18" i="51"/>
  <c r="L18" i="51"/>
  <c r="H18" i="54"/>
  <c r="O18" i="54"/>
  <c r="I18" i="58"/>
  <c r="N18" i="58"/>
  <c r="J18" i="51"/>
  <c r="H18" i="51"/>
  <c r="L18" i="54"/>
  <c r="J18" i="54"/>
  <c r="M18" i="58"/>
  <c r="G18" i="58"/>
  <c r="M7" i="59"/>
  <c r="K18" i="58"/>
  <c r="K18" i="51"/>
  <c r="H7" i="49"/>
  <c r="N7" i="49"/>
  <c r="I7" i="49"/>
  <c r="L7" i="49"/>
  <c r="J7" i="49"/>
  <c r="O7" i="49"/>
  <c r="G7" i="49"/>
  <c r="M7" i="49"/>
  <c r="K7" i="49"/>
  <c r="D25" i="60"/>
  <c r="K46" i="51"/>
  <c r="K48" i="51" s="1"/>
  <c r="K51" i="51" s="1"/>
  <c r="K59" i="51"/>
  <c r="K62" i="51" s="1"/>
  <c r="D53" i="60"/>
  <c r="D41" i="60"/>
  <c r="D65" i="60"/>
  <c r="D77" i="60"/>
  <c r="I25" i="60" l="1"/>
  <c r="K25" i="60"/>
  <c r="I38" i="44"/>
  <c r="G38" i="44"/>
  <c r="F60" i="60" l="1"/>
  <c r="F63" i="60"/>
  <c r="F58" i="60"/>
  <c r="F57" i="60"/>
  <c r="F62" i="60"/>
  <c r="F59" i="60"/>
  <c r="F61" i="60"/>
  <c r="F73" i="60"/>
  <c r="H73" i="60" s="1"/>
  <c r="F69" i="60"/>
  <c r="F74" i="60"/>
  <c r="F70" i="60"/>
  <c r="F72" i="60"/>
  <c r="H72" i="60" s="1"/>
  <c r="F71" i="60"/>
  <c r="F75" i="60"/>
  <c r="H75" i="60" s="1"/>
  <c r="H60" i="60"/>
  <c r="H58" i="60"/>
  <c r="H59" i="60"/>
  <c r="H62" i="60"/>
  <c r="H61" i="60"/>
  <c r="H63" i="60"/>
  <c r="H74" i="60"/>
  <c r="H71" i="60"/>
  <c r="H70" i="60"/>
  <c r="K38" i="44"/>
  <c r="J22" i="60"/>
  <c r="J21" i="60"/>
  <c r="M38" i="44"/>
  <c r="M10" i="40"/>
  <c r="L10" i="40"/>
  <c r="K10" i="40"/>
  <c r="O10" i="40"/>
  <c r="N10" i="40"/>
  <c r="I10" i="40"/>
  <c r="H10" i="40"/>
  <c r="G10" i="40"/>
  <c r="F10" i="40"/>
  <c r="AG22" i="43" l="1"/>
  <c r="G35" i="51" s="1"/>
  <c r="BJ22" i="43"/>
  <c r="G35" i="58" s="1"/>
  <c r="AV22" i="43"/>
  <c r="G35" i="54" s="1"/>
  <c r="S22" i="43"/>
  <c r="G35" i="47" s="1"/>
  <c r="J10" i="40"/>
  <c r="AO22" i="43"/>
  <c r="O35" i="51" s="1"/>
  <c r="BR22" i="43"/>
  <c r="O35" i="58" s="1"/>
  <c r="BD22" i="43"/>
  <c r="O35" i="54" s="1"/>
  <c r="AA22" i="43"/>
  <c r="O35" i="47" s="1"/>
  <c r="AK22" i="43"/>
  <c r="K35" i="51" s="1"/>
  <c r="BN22" i="43"/>
  <c r="K35" i="58" s="1"/>
  <c r="AZ22" i="43"/>
  <c r="K35" i="54" s="1"/>
  <c r="W22" i="43"/>
  <c r="K35" i="47" s="1"/>
  <c r="AH22" i="43"/>
  <c r="H35" i="51" s="1"/>
  <c r="BK22" i="43"/>
  <c r="H35" i="58" s="1"/>
  <c r="AW22" i="43"/>
  <c r="H35" i="54" s="1"/>
  <c r="T22" i="43"/>
  <c r="H35" i="47" s="1"/>
  <c r="AL22" i="43"/>
  <c r="L35" i="51" s="1"/>
  <c r="BO22" i="43"/>
  <c r="L35" i="58" s="1"/>
  <c r="BA22" i="43"/>
  <c r="L35" i="54" s="1"/>
  <c r="X22" i="43"/>
  <c r="L35" i="47" s="1"/>
  <c r="AI22" i="43"/>
  <c r="I35" i="51" s="1"/>
  <c r="BL22" i="43"/>
  <c r="I35" i="58" s="1"/>
  <c r="AX22" i="43"/>
  <c r="I35" i="54" s="1"/>
  <c r="U22" i="43"/>
  <c r="I35" i="47" s="1"/>
  <c r="AM22" i="43"/>
  <c r="M35" i="51" s="1"/>
  <c r="BP22" i="43"/>
  <c r="M35" i="58" s="1"/>
  <c r="BB22" i="43"/>
  <c r="M35" i="54" s="1"/>
  <c r="Y22" i="43"/>
  <c r="M35" i="47" s="1"/>
  <c r="AJ22" i="43"/>
  <c r="J35" i="51" s="1"/>
  <c r="BM22" i="43"/>
  <c r="J35" i="58" s="1"/>
  <c r="AY22" i="43"/>
  <c r="J35" i="54" s="1"/>
  <c r="V22" i="43"/>
  <c r="J35" i="47" s="1"/>
  <c r="AN22" i="43"/>
  <c r="N35" i="51" s="1"/>
  <c r="BQ22" i="43"/>
  <c r="N35" i="58" s="1"/>
  <c r="BC22" i="43"/>
  <c r="N35" i="54" s="1"/>
  <c r="Z22" i="43"/>
  <c r="N35" i="47" s="1"/>
  <c r="F38" i="60"/>
  <c r="H38" i="60" s="1"/>
  <c r="F34" i="60"/>
  <c r="F37" i="60"/>
  <c r="H37" i="60" s="1"/>
  <c r="F33" i="60"/>
  <c r="F39" i="60"/>
  <c r="F36" i="60"/>
  <c r="H36" i="60" s="1"/>
  <c r="F35" i="60"/>
  <c r="H35" i="60" s="1"/>
  <c r="F51" i="60"/>
  <c r="H51" i="60" s="1"/>
  <c r="F47" i="60"/>
  <c r="H47" i="60" s="1"/>
  <c r="F48" i="60"/>
  <c r="F46" i="60"/>
  <c r="H46" i="60" s="1"/>
  <c r="F49" i="60"/>
  <c r="H49" i="60" s="1"/>
  <c r="F50" i="60"/>
  <c r="H50" i="60" s="1"/>
  <c r="F45" i="60"/>
  <c r="H48" i="60"/>
  <c r="H34" i="60"/>
  <c r="H39" i="60"/>
  <c r="V21" i="60"/>
  <c r="R21" i="60"/>
  <c r="N21" i="60"/>
  <c r="U21" i="60"/>
  <c r="Q21" i="60"/>
  <c r="M21" i="60"/>
  <c r="O21" i="60"/>
  <c r="T21" i="60"/>
  <c r="P21" i="60"/>
  <c r="S21" i="60"/>
  <c r="T22" i="60"/>
  <c r="P22" i="60"/>
  <c r="M22" i="60"/>
  <c r="S22" i="60"/>
  <c r="O22" i="60"/>
  <c r="Q22" i="60"/>
  <c r="V22" i="60"/>
  <c r="R22" i="60"/>
  <c r="N22" i="60"/>
  <c r="U22" i="60"/>
  <c r="N36" i="54"/>
  <c r="N37" i="54" s="1"/>
  <c r="N7" i="54" s="1"/>
  <c r="H16" i="72" s="1"/>
  <c r="N36" i="51"/>
  <c r="N37" i="51" s="1"/>
  <c r="N7" i="51" s="1"/>
  <c r="H34" i="72" s="1"/>
  <c r="N36" i="47"/>
  <c r="N37" i="47" s="1"/>
  <c r="N36" i="58"/>
  <c r="N37" i="58" s="1"/>
  <c r="N7" i="58" s="1"/>
  <c r="H22" i="72" s="1"/>
  <c r="K36" i="54"/>
  <c r="K37" i="54" s="1"/>
  <c r="K7" i="54" s="1"/>
  <c r="K37" i="60" s="1"/>
  <c r="K36" i="58"/>
  <c r="K37" i="58" s="1"/>
  <c r="K7" i="58" s="1"/>
  <c r="K49" i="60" s="1"/>
  <c r="K36" i="47"/>
  <c r="K37" i="47" s="1"/>
  <c r="K36" i="51"/>
  <c r="K37" i="51" s="1"/>
  <c r="K7" i="51" s="1"/>
  <c r="K73" i="60" s="1"/>
  <c r="O36" i="58"/>
  <c r="O37" i="58" s="1"/>
  <c r="O7" i="58" s="1"/>
  <c r="H23" i="72" s="1"/>
  <c r="O36" i="54"/>
  <c r="O37" i="54" s="1"/>
  <c r="O7" i="54" s="1"/>
  <c r="H17" i="72" s="1"/>
  <c r="O36" i="47"/>
  <c r="O37" i="47" s="1"/>
  <c r="O7" i="47" s="1"/>
  <c r="O36" i="51"/>
  <c r="O37" i="51" s="1"/>
  <c r="O7" i="51" s="1"/>
  <c r="H35" i="72" s="1"/>
  <c r="L36" i="47"/>
  <c r="L37" i="47" s="1"/>
  <c r="L36" i="58"/>
  <c r="L37" i="58" s="1"/>
  <c r="L7" i="58" s="1"/>
  <c r="K50" i="60" s="1"/>
  <c r="L36" i="54"/>
  <c r="L37" i="54" s="1"/>
  <c r="L7" i="54" s="1"/>
  <c r="K38" i="60" s="1"/>
  <c r="L36" i="51"/>
  <c r="L37" i="51" s="1"/>
  <c r="L7" i="51" s="1"/>
  <c r="K74" i="60" s="1"/>
  <c r="M36" i="51"/>
  <c r="M37" i="51" s="1"/>
  <c r="M7" i="51" s="1"/>
  <c r="K75" i="60" s="1"/>
  <c r="M36" i="58"/>
  <c r="M37" i="58" s="1"/>
  <c r="M7" i="58" s="1"/>
  <c r="K51" i="60" s="1"/>
  <c r="M36" i="54"/>
  <c r="M37" i="54" s="1"/>
  <c r="M7" i="54" s="1"/>
  <c r="K39" i="60" s="1"/>
  <c r="M36" i="47"/>
  <c r="M37" i="47" s="1"/>
  <c r="J36" i="54"/>
  <c r="J37" i="54" s="1"/>
  <c r="J7" i="54" s="1"/>
  <c r="K35" i="60" s="1"/>
  <c r="J36" i="51"/>
  <c r="J37" i="51" s="1"/>
  <c r="J7" i="51" s="1"/>
  <c r="K71" i="60" s="1"/>
  <c r="J36" i="58"/>
  <c r="J37" i="58" s="1"/>
  <c r="J7" i="58" s="1"/>
  <c r="K47" i="60" s="1"/>
  <c r="J36" i="47"/>
  <c r="J37" i="47" s="1"/>
  <c r="I36" i="47"/>
  <c r="I37" i="47" s="1"/>
  <c r="I36" i="58"/>
  <c r="I37" i="58" s="1"/>
  <c r="I7" i="58" s="1"/>
  <c r="K46" i="60" s="1"/>
  <c r="I36" i="54"/>
  <c r="I37" i="54" s="1"/>
  <c r="I7" i="54" s="1"/>
  <c r="K34" i="60" s="1"/>
  <c r="I36" i="51"/>
  <c r="I37" i="51" s="1"/>
  <c r="I7" i="51" s="1"/>
  <c r="K70" i="60" s="1"/>
  <c r="H36" i="51"/>
  <c r="H37" i="51" s="1"/>
  <c r="H7" i="51" s="1"/>
  <c r="K72" i="60" s="1"/>
  <c r="H36" i="58"/>
  <c r="H37" i="58" s="1"/>
  <c r="H7" i="58" s="1"/>
  <c r="K48" i="60" s="1"/>
  <c r="H36" i="47"/>
  <c r="H37" i="47" s="1"/>
  <c r="H36" i="54"/>
  <c r="H37" i="54" s="1"/>
  <c r="G36" i="58"/>
  <c r="G37" i="58" s="1"/>
  <c r="G36" i="54"/>
  <c r="G37" i="54" s="1"/>
  <c r="G36" i="51"/>
  <c r="G37" i="51" s="1"/>
  <c r="G7" i="51" s="1"/>
  <c r="K69" i="60" s="1"/>
  <c r="G36" i="47"/>
  <c r="G37" i="47" s="1"/>
  <c r="E2" i="43"/>
  <c r="G7" i="54" l="1"/>
  <c r="K33" i="60" s="1"/>
  <c r="G7" i="58"/>
  <c r="K45" i="60" s="1"/>
  <c r="H7" i="54"/>
  <c r="K36" i="60" s="1"/>
  <c r="I40" i="47"/>
  <c r="I8" i="47" s="1"/>
  <c r="I58" i="60" s="1"/>
  <c r="I7" i="47"/>
  <c r="K58" i="60" s="1"/>
  <c r="L40" i="47"/>
  <c r="L8" i="47" s="1"/>
  <c r="I62" i="60" s="1"/>
  <c r="L7" i="47"/>
  <c r="K62" i="60" s="1"/>
  <c r="G40" i="47"/>
  <c r="G8" i="47" s="1"/>
  <c r="I57" i="60" s="1"/>
  <c r="G7" i="47"/>
  <c r="K57" i="60" s="1"/>
  <c r="J40" i="47"/>
  <c r="J8" i="47" s="1"/>
  <c r="I59" i="60" s="1"/>
  <c r="J7" i="47"/>
  <c r="K59" i="60" s="1"/>
  <c r="M40" i="47"/>
  <c r="M8" i="47" s="1"/>
  <c r="I63" i="60" s="1"/>
  <c r="M7" i="47"/>
  <c r="K63" i="60" s="1"/>
  <c r="H40" i="47"/>
  <c r="H8" i="47" s="1"/>
  <c r="I60" i="60" s="1"/>
  <c r="H7" i="47"/>
  <c r="K60" i="60" s="1"/>
  <c r="O40" i="47"/>
  <c r="O8" i="47" s="1"/>
  <c r="H29" i="72"/>
  <c r="K40" i="47"/>
  <c r="K8" i="47" s="1"/>
  <c r="I61" i="60" s="1"/>
  <c r="K7" i="47"/>
  <c r="K61" i="60" s="1"/>
  <c r="N40" i="47"/>
  <c r="X21" i="60"/>
  <c r="X22" i="60"/>
  <c r="O40" i="51"/>
  <c r="N40" i="58"/>
  <c r="L40" i="54"/>
  <c r="L40" i="58"/>
  <c r="O40" i="54"/>
  <c r="K40" i="58"/>
  <c r="N40" i="51"/>
  <c r="L40" i="51"/>
  <c r="K40" i="51"/>
  <c r="O40" i="58"/>
  <c r="K40" i="54"/>
  <c r="N40" i="54"/>
  <c r="M40" i="54"/>
  <c r="M8" i="54" s="1"/>
  <c r="I39" i="60" s="1"/>
  <c r="M40" i="58"/>
  <c r="M8" i="58" s="1"/>
  <c r="I51" i="60" s="1"/>
  <c r="M40" i="51"/>
  <c r="M8" i="51" s="1"/>
  <c r="I75" i="60" s="1"/>
  <c r="I40" i="51"/>
  <c r="I40" i="54"/>
  <c r="J40" i="58"/>
  <c r="H40" i="58"/>
  <c r="I40" i="58"/>
  <c r="J40" i="51"/>
  <c r="H40" i="54"/>
  <c r="H40" i="51"/>
  <c r="J40" i="54"/>
  <c r="G40" i="54"/>
  <c r="G40" i="58"/>
  <c r="G8" i="58" s="1"/>
  <c r="I45" i="60" s="1"/>
  <c r="G40" i="51"/>
  <c r="F41" i="60"/>
  <c r="F65" i="60"/>
  <c r="F77" i="60"/>
  <c r="F53" i="60"/>
  <c r="C2" i="41"/>
  <c r="C2" i="40"/>
  <c r="D45" i="34" s="1"/>
  <c r="D2" i="34"/>
  <c r="E12" i="1"/>
  <c r="E9" i="1"/>
  <c r="F29" i="72" l="1"/>
  <c r="H36" i="72"/>
  <c r="H24" i="72"/>
  <c r="H18" i="72"/>
  <c r="J8" i="54"/>
  <c r="I35" i="60" s="1"/>
  <c r="H8" i="54"/>
  <c r="I36" i="60" s="1"/>
  <c r="L8" i="51"/>
  <c r="J8" i="51"/>
  <c r="I71" i="60" s="1"/>
  <c r="H8" i="58"/>
  <c r="I48" i="60" s="1"/>
  <c r="I8" i="54"/>
  <c r="I34" i="60" s="1"/>
  <c r="K8" i="54"/>
  <c r="I37" i="60" s="1"/>
  <c r="L8" i="54"/>
  <c r="I38" i="60" s="1"/>
  <c r="O8" i="51"/>
  <c r="F35" i="72" s="1"/>
  <c r="G8" i="51"/>
  <c r="I69" i="60" s="1"/>
  <c r="L8" i="58"/>
  <c r="G8" i="54"/>
  <c r="I33" i="60" s="1"/>
  <c r="H8" i="51"/>
  <c r="I72" i="60" s="1"/>
  <c r="I8" i="51"/>
  <c r="I70" i="60" s="1"/>
  <c r="N8" i="51"/>
  <c r="O8" i="54"/>
  <c r="K8" i="58"/>
  <c r="I49" i="60" s="1"/>
  <c r="I8" i="58"/>
  <c r="I46" i="60" s="1"/>
  <c r="J8" i="58"/>
  <c r="I47" i="60" s="1"/>
  <c r="N8" i="54"/>
  <c r="F16" i="72" s="1"/>
  <c r="O8" i="58"/>
  <c r="K8" i="51"/>
  <c r="I73" i="60" s="1"/>
  <c r="N8" i="58"/>
  <c r="J60" i="60"/>
  <c r="J61" i="60"/>
  <c r="G29" i="72" l="1"/>
  <c r="O29" i="72" s="1"/>
  <c r="F34" i="72"/>
  <c r="F23" i="72"/>
  <c r="F22" i="72"/>
  <c r="F17" i="72"/>
  <c r="F18" i="72" s="1"/>
  <c r="I50" i="60"/>
  <c r="J50" i="60" s="1"/>
  <c r="I74" i="60"/>
  <c r="J74" i="60" s="1"/>
  <c r="G16" i="72"/>
  <c r="J37" i="60"/>
  <c r="P37" i="60" s="1"/>
  <c r="K65" i="60"/>
  <c r="K77" i="60"/>
  <c r="O13" i="64" s="1"/>
  <c r="U60" i="60"/>
  <c r="N60" i="60"/>
  <c r="O60" i="60"/>
  <c r="S60" i="60"/>
  <c r="P60" i="60"/>
  <c r="R60" i="60"/>
  <c r="V60" i="60"/>
  <c r="M60" i="60"/>
  <c r="T60" i="60"/>
  <c r="Q60" i="60"/>
  <c r="J49" i="60"/>
  <c r="M49" i="60" s="1"/>
  <c r="J38" i="60"/>
  <c r="V38" i="60" s="1"/>
  <c r="K53" i="60"/>
  <c r="O11" i="64" s="1"/>
  <c r="K41" i="60"/>
  <c r="O10" i="64" s="1"/>
  <c r="M61" i="60"/>
  <c r="S61" i="60"/>
  <c r="Q61" i="60"/>
  <c r="N61" i="60"/>
  <c r="P61" i="60"/>
  <c r="U61" i="60"/>
  <c r="R61" i="60"/>
  <c r="T61" i="60"/>
  <c r="V61" i="60"/>
  <c r="O61" i="60"/>
  <c r="I41" i="60"/>
  <c r="J62" i="60"/>
  <c r="J73" i="60"/>
  <c r="P29" i="72" l="1"/>
  <c r="I77" i="60"/>
  <c r="M29" i="72"/>
  <c r="J29" i="72"/>
  <c r="S29" i="72"/>
  <c r="N29" i="72"/>
  <c r="Q29" i="72"/>
  <c r="R29" i="72"/>
  <c r="K29" i="72"/>
  <c r="F36" i="72"/>
  <c r="Q13" i="64" s="1"/>
  <c r="G23" i="72"/>
  <c r="R23" i="72" s="1"/>
  <c r="G17" i="72"/>
  <c r="S17" i="72" s="1"/>
  <c r="G22" i="72"/>
  <c r="M22" i="72" s="1"/>
  <c r="L29" i="72"/>
  <c r="G35" i="72"/>
  <c r="O35" i="72" s="1"/>
  <c r="G34" i="72"/>
  <c r="M34" i="72" s="1"/>
  <c r="F24" i="72"/>
  <c r="Q10" i="64"/>
  <c r="V74" i="60"/>
  <c r="S74" i="60"/>
  <c r="N74" i="60"/>
  <c r="O74" i="60"/>
  <c r="T74" i="60"/>
  <c r="U74" i="60"/>
  <c r="R74" i="60"/>
  <c r="P74" i="60"/>
  <c r="M74" i="60"/>
  <c r="Q74" i="60"/>
  <c r="T50" i="60"/>
  <c r="S50" i="60"/>
  <c r="U50" i="60"/>
  <c r="P50" i="60"/>
  <c r="O50" i="60"/>
  <c r="Q50" i="60"/>
  <c r="V50" i="60"/>
  <c r="R50" i="60"/>
  <c r="M50" i="60"/>
  <c r="N50" i="60"/>
  <c r="U37" i="60"/>
  <c r="R16" i="72"/>
  <c r="K16" i="72"/>
  <c r="M16" i="72"/>
  <c r="O16" i="72"/>
  <c r="L16" i="72"/>
  <c r="N16" i="72"/>
  <c r="J16" i="72"/>
  <c r="Q16" i="72"/>
  <c r="S16" i="72"/>
  <c r="P16" i="72"/>
  <c r="Q37" i="60"/>
  <c r="T37" i="60"/>
  <c r="V37" i="60"/>
  <c r="N37" i="60"/>
  <c r="R37" i="60"/>
  <c r="O37" i="60"/>
  <c r="M37" i="60"/>
  <c r="S37" i="60"/>
  <c r="X60" i="60"/>
  <c r="I65" i="60"/>
  <c r="I53" i="60"/>
  <c r="O49" i="60"/>
  <c r="S49" i="60"/>
  <c r="T49" i="60"/>
  <c r="M38" i="60"/>
  <c r="P38" i="60"/>
  <c r="U49" i="60"/>
  <c r="V49" i="60"/>
  <c r="S38" i="60"/>
  <c r="U38" i="60"/>
  <c r="O38" i="60"/>
  <c r="R49" i="60"/>
  <c r="N49" i="60"/>
  <c r="Q38" i="60"/>
  <c r="N38" i="60"/>
  <c r="R38" i="60"/>
  <c r="Q49" i="60"/>
  <c r="P49" i="60"/>
  <c r="T38" i="60"/>
  <c r="M10" i="64"/>
  <c r="M13" i="64"/>
  <c r="S62" i="60"/>
  <c r="P62" i="60"/>
  <c r="R62" i="60"/>
  <c r="T62" i="60"/>
  <c r="M62" i="60"/>
  <c r="V62" i="60"/>
  <c r="Q62" i="60"/>
  <c r="O62" i="60"/>
  <c r="U62" i="60"/>
  <c r="N62" i="60"/>
  <c r="X61" i="60"/>
  <c r="V73" i="60"/>
  <c r="R73" i="60"/>
  <c r="N73" i="60"/>
  <c r="U73" i="60"/>
  <c r="Q73" i="60"/>
  <c r="M73" i="60"/>
  <c r="T73" i="60"/>
  <c r="P73" i="60"/>
  <c r="S73" i="60"/>
  <c r="O73" i="60"/>
  <c r="J39" i="60"/>
  <c r="E33" i="60"/>
  <c r="H33" i="60" s="1"/>
  <c r="E45" i="60"/>
  <c r="H45" i="60" s="1"/>
  <c r="J34" i="60"/>
  <c r="J35" i="60"/>
  <c r="J47" i="60"/>
  <c r="J36" i="60"/>
  <c r="J48" i="60"/>
  <c r="E57" i="60"/>
  <c r="H57" i="60" s="1"/>
  <c r="E69" i="60"/>
  <c r="H69" i="60" s="1"/>
  <c r="J23" i="60"/>
  <c r="E17" i="60"/>
  <c r="J18" i="60"/>
  <c r="J19" i="60"/>
  <c r="J20" i="60"/>
  <c r="S34" i="72" l="1"/>
  <c r="P17" i="72"/>
  <c r="P18" i="72" s="1"/>
  <c r="Q17" i="72"/>
  <c r="Q18" i="72" s="1"/>
  <c r="P23" i="72"/>
  <c r="K34" i="72"/>
  <c r="R34" i="72"/>
  <c r="J34" i="72"/>
  <c r="L17" i="72"/>
  <c r="L18" i="72" s="1"/>
  <c r="J23" i="72"/>
  <c r="S23" i="72"/>
  <c r="L23" i="72"/>
  <c r="Q23" i="72"/>
  <c r="J35" i="72"/>
  <c r="U29" i="72"/>
  <c r="L35" i="72"/>
  <c r="R35" i="72"/>
  <c r="G36" i="72"/>
  <c r="N23" i="72"/>
  <c r="M23" i="72"/>
  <c r="M24" i="72" s="1"/>
  <c r="S35" i="72"/>
  <c r="Q35" i="72"/>
  <c r="O23" i="72"/>
  <c r="K23" i="72"/>
  <c r="M35" i="72"/>
  <c r="M36" i="72" s="1"/>
  <c r="P35" i="72"/>
  <c r="N35" i="72"/>
  <c r="P22" i="72"/>
  <c r="J22" i="72"/>
  <c r="K35" i="72"/>
  <c r="K22" i="72"/>
  <c r="R22" i="72"/>
  <c r="R24" i="72" s="1"/>
  <c r="G24" i="72"/>
  <c r="Q11" i="64"/>
  <c r="L22" i="72"/>
  <c r="Q22" i="72"/>
  <c r="N22" i="72"/>
  <c r="O22" i="72"/>
  <c r="S22" i="72"/>
  <c r="S24" i="72" s="1"/>
  <c r="G18" i="72"/>
  <c r="L34" i="72"/>
  <c r="P34" i="72"/>
  <c r="O17" i="72"/>
  <c r="O18" i="72" s="1"/>
  <c r="K17" i="72"/>
  <c r="K18" i="72" s="1"/>
  <c r="N17" i="72"/>
  <c r="N18" i="72" s="1"/>
  <c r="O34" i="72"/>
  <c r="O36" i="72" s="1"/>
  <c r="N34" i="72"/>
  <c r="N36" i="72" s="1"/>
  <c r="Q34" i="72"/>
  <c r="M17" i="72"/>
  <c r="M18" i="72" s="1"/>
  <c r="R17" i="72"/>
  <c r="R18" i="72" s="1"/>
  <c r="J17" i="72"/>
  <c r="J18" i="72" s="1"/>
  <c r="S18" i="72"/>
  <c r="X50" i="60"/>
  <c r="X74" i="60"/>
  <c r="U16" i="72"/>
  <c r="X37" i="60"/>
  <c r="M12" i="64"/>
  <c r="M11" i="64"/>
  <c r="J51" i="60"/>
  <c r="M51" i="60" s="1"/>
  <c r="X38" i="60"/>
  <c r="X49" i="60"/>
  <c r="X62" i="60"/>
  <c r="T23" i="60"/>
  <c r="P23" i="60"/>
  <c r="M23" i="60"/>
  <c r="S23" i="60"/>
  <c r="O23" i="60"/>
  <c r="U23" i="60"/>
  <c r="V23" i="60"/>
  <c r="R23" i="60"/>
  <c r="N23" i="60"/>
  <c r="Q23" i="60"/>
  <c r="V20" i="60"/>
  <c r="R20" i="60"/>
  <c r="N20" i="60"/>
  <c r="S20" i="60"/>
  <c r="U20" i="60"/>
  <c r="Q20" i="60"/>
  <c r="M20" i="60"/>
  <c r="T20" i="60"/>
  <c r="P20" i="60"/>
  <c r="O20" i="60"/>
  <c r="V19" i="60"/>
  <c r="R19" i="60"/>
  <c r="N19" i="60"/>
  <c r="U19" i="60"/>
  <c r="Q19" i="60"/>
  <c r="M19" i="60"/>
  <c r="T19" i="60"/>
  <c r="P19" i="60"/>
  <c r="S19" i="60"/>
  <c r="O19" i="60"/>
  <c r="T18" i="60"/>
  <c r="P18" i="60"/>
  <c r="U18" i="60"/>
  <c r="S18" i="60"/>
  <c r="O18" i="60"/>
  <c r="M18" i="60"/>
  <c r="V18" i="60"/>
  <c r="R18" i="60"/>
  <c r="N18" i="60"/>
  <c r="Q18" i="60"/>
  <c r="X73" i="60"/>
  <c r="S48" i="60"/>
  <c r="O48" i="60"/>
  <c r="P48" i="60"/>
  <c r="V48" i="60"/>
  <c r="R48" i="60"/>
  <c r="N48" i="60"/>
  <c r="T48" i="60"/>
  <c r="U48" i="60"/>
  <c r="Q48" i="60"/>
  <c r="M48" i="60"/>
  <c r="U47" i="60"/>
  <c r="Q47" i="60"/>
  <c r="M47" i="60"/>
  <c r="R47" i="60"/>
  <c r="T47" i="60"/>
  <c r="P47" i="60"/>
  <c r="V47" i="60"/>
  <c r="S47" i="60"/>
  <c r="O47" i="60"/>
  <c r="N47" i="60"/>
  <c r="S36" i="60"/>
  <c r="O36" i="60"/>
  <c r="P36" i="60"/>
  <c r="V36" i="60"/>
  <c r="R36" i="60"/>
  <c r="N36" i="60"/>
  <c r="U36" i="60"/>
  <c r="Q36" i="60"/>
  <c r="M36" i="60"/>
  <c r="T36" i="60"/>
  <c r="U35" i="60"/>
  <c r="Q35" i="60"/>
  <c r="M35" i="60"/>
  <c r="R35" i="60"/>
  <c r="T35" i="60"/>
  <c r="P35" i="60"/>
  <c r="V35" i="60"/>
  <c r="N35" i="60"/>
  <c r="S35" i="60"/>
  <c r="O35" i="60"/>
  <c r="T34" i="60"/>
  <c r="P34" i="60"/>
  <c r="Q34" i="60"/>
  <c r="S34" i="60"/>
  <c r="O34" i="60"/>
  <c r="M34" i="60"/>
  <c r="V34" i="60"/>
  <c r="R34" i="60"/>
  <c r="N34" i="60"/>
  <c r="U34" i="60"/>
  <c r="T39" i="60"/>
  <c r="P39" i="60"/>
  <c r="U39" i="60"/>
  <c r="S39" i="60"/>
  <c r="O39" i="60"/>
  <c r="M39" i="60"/>
  <c r="V39" i="60"/>
  <c r="R39" i="60"/>
  <c r="N39" i="60"/>
  <c r="Q39" i="60"/>
  <c r="J71" i="60"/>
  <c r="J75" i="60"/>
  <c r="J63" i="60"/>
  <c r="J58" i="60"/>
  <c r="J59" i="60"/>
  <c r="J46" i="60"/>
  <c r="J70" i="60"/>
  <c r="J72" i="60"/>
  <c r="I11" i="64"/>
  <c r="I12" i="64"/>
  <c r="I13" i="64"/>
  <c r="I10" i="64"/>
  <c r="P36" i="72" l="1"/>
  <c r="S36" i="72"/>
  <c r="P24" i="72"/>
  <c r="Q24" i="72"/>
  <c r="K36" i="72"/>
  <c r="R36" i="72"/>
  <c r="J36" i="72"/>
  <c r="O24" i="72"/>
  <c r="U23" i="72"/>
  <c r="L36" i="72"/>
  <c r="L24" i="72"/>
  <c r="K24" i="72"/>
  <c r="J24" i="72"/>
  <c r="U35" i="72"/>
  <c r="Q36" i="72"/>
  <c r="N24" i="72"/>
  <c r="U22" i="72"/>
  <c r="U24" i="72" s="1"/>
  <c r="U17" i="72"/>
  <c r="U18" i="72" s="1"/>
  <c r="U34" i="72"/>
  <c r="R51" i="60"/>
  <c r="U51" i="60"/>
  <c r="S51" i="60"/>
  <c r="Q51" i="60"/>
  <c r="T51" i="60"/>
  <c r="N51" i="60"/>
  <c r="O51" i="60"/>
  <c r="P51" i="60"/>
  <c r="V51" i="60"/>
  <c r="M58" i="60"/>
  <c r="Q58" i="60"/>
  <c r="U58" i="60"/>
  <c r="R58" i="60"/>
  <c r="N58" i="60"/>
  <c r="V58" i="60"/>
  <c r="O58" i="60"/>
  <c r="S58" i="60"/>
  <c r="P58" i="60"/>
  <c r="T58" i="60"/>
  <c r="O59" i="60"/>
  <c r="S59" i="60"/>
  <c r="P59" i="60"/>
  <c r="T59" i="60"/>
  <c r="M59" i="60"/>
  <c r="Q59" i="60"/>
  <c r="U59" i="60"/>
  <c r="N59" i="60"/>
  <c r="R59" i="60"/>
  <c r="V59" i="60"/>
  <c r="M63" i="60"/>
  <c r="Q63" i="60"/>
  <c r="U63" i="60"/>
  <c r="N63" i="60"/>
  <c r="V63" i="60"/>
  <c r="R63" i="60"/>
  <c r="O63" i="60"/>
  <c r="S63" i="60"/>
  <c r="P63" i="60"/>
  <c r="T63" i="60"/>
  <c r="X48" i="60"/>
  <c r="T46" i="60"/>
  <c r="P46" i="60"/>
  <c r="Q46" i="60"/>
  <c r="S46" i="60"/>
  <c r="O46" i="60"/>
  <c r="U46" i="60"/>
  <c r="V46" i="60"/>
  <c r="R46" i="60"/>
  <c r="N46" i="60"/>
  <c r="M46" i="60"/>
  <c r="X47" i="60"/>
  <c r="X34" i="60"/>
  <c r="X39" i="60"/>
  <c r="X35" i="60"/>
  <c r="X36" i="60"/>
  <c r="V72" i="60"/>
  <c r="R72" i="60"/>
  <c r="N72" i="60"/>
  <c r="T72" i="60"/>
  <c r="S72" i="60"/>
  <c r="U72" i="60"/>
  <c r="Q72" i="60"/>
  <c r="M72" i="60"/>
  <c r="P72" i="60"/>
  <c r="O72" i="60"/>
  <c r="T70" i="60"/>
  <c r="P70" i="60"/>
  <c r="S70" i="60"/>
  <c r="O70" i="60"/>
  <c r="Q70" i="60"/>
  <c r="V70" i="60"/>
  <c r="R70" i="60"/>
  <c r="N70" i="60"/>
  <c r="U70" i="60"/>
  <c r="M70" i="60"/>
  <c r="T75" i="60"/>
  <c r="P75" i="60"/>
  <c r="S75" i="60"/>
  <c r="O75" i="60"/>
  <c r="U75" i="60"/>
  <c r="M75" i="60"/>
  <c r="V75" i="60"/>
  <c r="R75" i="60"/>
  <c r="N75" i="60"/>
  <c r="Q75" i="60"/>
  <c r="U71" i="60"/>
  <c r="Q71" i="60"/>
  <c r="M71" i="60"/>
  <c r="T71" i="60"/>
  <c r="P71" i="60"/>
  <c r="V71" i="60"/>
  <c r="N71" i="60"/>
  <c r="S71" i="60"/>
  <c r="O71" i="60"/>
  <c r="R71" i="60"/>
  <c r="X19" i="60"/>
  <c r="X18" i="60"/>
  <c r="X23" i="60"/>
  <c r="X20" i="60"/>
  <c r="J57" i="60"/>
  <c r="H65" i="60"/>
  <c r="P12" i="64" s="1"/>
  <c r="J17" i="60"/>
  <c r="J69" i="60"/>
  <c r="H77" i="60"/>
  <c r="P13" i="64" s="1"/>
  <c r="H41" i="60"/>
  <c r="P10" i="64" s="1"/>
  <c r="J33" i="60"/>
  <c r="J45" i="60"/>
  <c r="H53" i="60"/>
  <c r="P11" i="64" s="1"/>
  <c r="U36" i="72" l="1"/>
  <c r="X51" i="60"/>
  <c r="K11" i="64"/>
  <c r="K10" i="64"/>
  <c r="X59" i="60"/>
  <c r="X63" i="60"/>
  <c r="X58" i="60"/>
  <c r="M57" i="60"/>
  <c r="Q57" i="60"/>
  <c r="U57" i="60"/>
  <c r="V57" i="60"/>
  <c r="N57" i="60"/>
  <c r="R57" i="60"/>
  <c r="O57" i="60"/>
  <c r="S57" i="60"/>
  <c r="P57" i="60"/>
  <c r="T57" i="60"/>
  <c r="T17" i="60"/>
  <c r="P17" i="60"/>
  <c r="U17" i="60"/>
  <c r="S17" i="60"/>
  <c r="O17" i="60"/>
  <c r="Q17" i="60"/>
  <c r="V17" i="60"/>
  <c r="R17" i="60"/>
  <c r="N17" i="60"/>
  <c r="M17" i="60"/>
  <c r="V45" i="60"/>
  <c r="R45" i="60"/>
  <c r="N45" i="60"/>
  <c r="M45" i="60"/>
  <c r="O45" i="60"/>
  <c r="U45" i="60"/>
  <c r="Q45" i="60"/>
  <c r="S45" i="60"/>
  <c r="T45" i="60"/>
  <c r="P45" i="60"/>
  <c r="X46" i="60"/>
  <c r="V33" i="60"/>
  <c r="R33" i="60"/>
  <c r="N33" i="60"/>
  <c r="P33" i="60"/>
  <c r="O33" i="60"/>
  <c r="U33" i="60"/>
  <c r="Q33" i="60"/>
  <c r="M33" i="60"/>
  <c r="T33" i="60"/>
  <c r="S33" i="60"/>
  <c r="N69" i="60"/>
  <c r="U69" i="60"/>
  <c r="Q69" i="60"/>
  <c r="M69" i="60"/>
  <c r="V69" i="60"/>
  <c r="T69" i="60"/>
  <c r="P69" i="60"/>
  <c r="S69" i="60"/>
  <c r="O69" i="60"/>
  <c r="R69" i="60"/>
  <c r="X71" i="60"/>
  <c r="X70" i="60"/>
  <c r="X72" i="60"/>
  <c r="X75" i="60"/>
  <c r="K13" i="64"/>
  <c r="K12" i="64"/>
  <c r="J25" i="60"/>
  <c r="J65" i="60"/>
  <c r="J41" i="60"/>
  <c r="R10" i="64" s="1"/>
  <c r="J77" i="60"/>
  <c r="R13" i="64" s="1"/>
  <c r="J53" i="60"/>
  <c r="R11" i="64" s="1"/>
  <c r="X57" i="60" l="1"/>
  <c r="V25" i="60"/>
  <c r="R25" i="60"/>
  <c r="N25" i="60"/>
  <c r="O25" i="60"/>
  <c r="U25" i="60"/>
  <c r="Q25" i="60"/>
  <c r="M25" i="60"/>
  <c r="T25" i="60"/>
  <c r="P25" i="60"/>
  <c r="S25" i="60"/>
  <c r="X45" i="60"/>
  <c r="X33" i="60"/>
  <c r="S53" i="60"/>
  <c r="O53" i="60"/>
  <c r="V53" i="60"/>
  <c r="R53" i="60"/>
  <c r="N53" i="60"/>
  <c r="U53" i="60"/>
  <c r="Q53" i="60"/>
  <c r="M53" i="60"/>
  <c r="T53" i="60"/>
  <c r="P53" i="60"/>
  <c r="S41" i="60"/>
  <c r="O41" i="60"/>
  <c r="V41" i="60"/>
  <c r="R41" i="60"/>
  <c r="N41" i="60"/>
  <c r="T41" i="60"/>
  <c r="U41" i="60"/>
  <c r="Q41" i="60"/>
  <c r="M41" i="60"/>
  <c r="P41" i="60"/>
  <c r="X69" i="60"/>
  <c r="S77" i="60"/>
  <c r="O77" i="60"/>
  <c r="V77" i="60"/>
  <c r="R77" i="60"/>
  <c r="N77" i="60"/>
  <c r="P77" i="60"/>
  <c r="U77" i="60"/>
  <c r="Q77" i="60"/>
  <c r="M77" i="60"/>
  <c r="T77" i="60"/>
  <c r="V65" i="60"/>
  <c r="R65" i="60"/>
  <c r="N65" i="60"/>
  <c r="U65" i="60"/>
  <c r="Q65" i="60"/>
  <c r="M65" i="60"/>
  <c r="T65" i="60"/>
  <c r="P65" i="60"/>
  <c r="S65" i="60"/>
  <c r="O65" i="60"/>
  <c r="X17" i="60"/>
  <c r="X53" i="60" l="1"/>
  <c r="U11" i="64" s="1"/>
  <c r="X41" i="60"/>
  <c r="U10" i="64" s="1"/>
  <c r="X77" i="60"/>
  <c r="U13" i="64" s="1"/>
  <c r="X65" i="60"/>
  <c r="X25" i="60"/>
  <c r="N11" i="47" l="1"/>
  <c r="N15" i="47" s="1"/>
  <c r="N18" i="47" l="1"/>
  <c r="N8" i="47" s="1"/>
  <c r="F28" i="72" s="1"/>
  <c r="N7" i="47"/>
  <c r="H28" i="72" s="1"/>
  <c r="Z74" i="43"/>
  <c r="Z78" i="43" s="1"/>
  <c r="H30" i="72" l="1"/>
  <c r="G28" i="72"/>
  <c r="F30" i="72"/>
  <c r="Q12" i="64" l="1"/>
  <c r="O12" i="64"/>
  <c r="O28" i="72"/>
  <c r="O30" i="72" s="1"/>
  <c r="L28" i="72"/>
  <c r="L30" i="72" s="1"/>
  <c r="Q28" i="72"/>
  <c r="Q30" i="72" s="1"/>
  <c r="R28" i="72"/>
  <c r="R30" i="72" s="1"/>
  <c r="P28" i="72"/>
  <c r="P30" i="72" s="1"/>
  <c r="M28" i="72"/>
  <c r="M30" i="72" s="1"/>
  <c r="G30" i="72"/>
  <c r="N28" i="72"/>
  <c r="N30" i="72" s="1"/>
  <c r="K28" i="72"/>
  <c r="K30" i="72" s="1"/>
  <c r="J28" i="72"/>
  <c r="S28" i="72"/>
  <c r="S30" i="72" s="1"/>
  <c r="R12" i="64" l="1"/>
  <c r="J30" i="72"/>
  <c r="U28" i="72"/>
  <c r="U30" i="72" l="1"/>
  <c r="U12" i="64" l="1"/>
</calcChain>
</file>

<file path=xl/sharedStrings.xml><?xml version="1.0" encoding="utf-8"?>
<sst xmlns="http://schemas.openxmlformats.org/spreadsheetml/2006/main" count="5083" uniqueCount="547">
  <si>
    <t>Sheet:</t>
  </si>
  <si>
    <t>Description:</t>
  </si>
  <si>
    <t>Summary information and version history</t>
  </si>
  <si>
    <t>Title:</t>
  </si>
  <si>
    <t>Filename:</t>
  </si>
  <si>
    <t>Issue:</t>
  </si>
  <si>
    <t>Date:</t>
  </si>
  <si>
    <t>Author:</t>
  </si>
  <si>
    <t>Contact:</t>
  </si>
  <si>
    <t>+44 20 7643 5550</t>
  </si>
  <si>
    <t>Key</t>
  </si>
  <si>
    <t>Format</t>
  </si>
  <si>
    <t>Description</t>
  </si>
  <si>
    <t>Calculation</t>
  </si>
  <si>
    <t>Input Parameter (for users to change at will)</t>
  </si>
  <si>
    <t>Input Data (only replace if you have better data)</t>
  </si>
  <si>
    <t>Input Estimate (only change if you have better data)</t>
  </si>
  <si>
    <t>Input linked from another sheet</t>
  </si>
  <si>
    <t>Cell calculated by macro</t>
  </si>
  <si>
    <t>Key Output</t>
  </si>
  <si>
    <t>Value used for model logic, e.g. counters etc</t>
  </si>
  <si>
    <t>Version History</t>
  </si>
  <si>
    <t>Version</t>
  </si>
  <si>
    <t>Date</t>
  </si>
  <si>
    <t>Information</t>
  </si>
  <si>
    <t>Triple-Play Switching Options - Cost Model</t>
  </si>
  <si>
    <t>Cartesian</t>
  </si>
  <si>
    <t>CATEGORY</t>
  </si>
  <si>
    <t>ITEM</t>
  </si>
  <si>
    <t>UNITS</t>
  </si>
  <si>
    <t>£</t>
  </si>
  <si>
    <t>Year 1</t>
  </si>
  <si>
    <t>Year 2</t>
  </si>
  <si>
    <t>Year 3</t>
  </si>
  <si>
    <t>Year 4</t>
  </si>
  <si>
    <t>Year 5</t>
  </si>
  <si>
    <t>Year 6</t>
  </si>
  <si>
    <t>Year 7</t>
  </si>
  <si>
    <t>Year 8</t>
  </si>
  <si>
    <t>Year 9</t>
  </si>
  <si>
    <t>Year 10</t>
  </si>
  <si>
    <t>Model Schematic</t>
  </si>
  <si>
    <t>OPEX</t>
  </si>
  <si>
    <t>CAPEX</t>
  </si>
  <si>
    <t>Total</t>
  </si>
  <si>
    <t>CP</t>
  </si>
  <si>
    <t>OR</t>
  </si>
  <si>
    <t>OPEX_INPUT</t>
  </si>
  <si>
    <t>#</t>
  </si>
  <si>
    <t>%</t>
  </si>
  <si>
    <t>CAPEX_INPUT</t>
  </si>
  <si>
    <t>Days</t>
  </si>
  <si>
    <t>mins</t>
  </si>
  <si>
    <t>Notes</t>
  </si>
  <si>
    <t>Assumptions on Industry Size</t>
  </si>
  <si>
    <t>Assumptions on Internal CP Processes</t>
  </si>
  <si>
    <t>Sky</t>
  </si>
  <si>
    <t>Comments</t>
  </si>
  <si>
    <t>-</t>
  </si>
  <si>
    <t>BT</t>
  </si>
  <si>
    <t>£/day</t>
  </si>
  <si>
    <t>days</t>
  </si>
  <si>
    <t>VM</t>
  </si>
  <si>
    <t>TalkTalk</t>
  </si>
  <si>
    <t>Comments / Source</t>
  </si>
  <si>
    <t>Salary for consultant implementing alternative IT system Source: Upper rate for a developer http://www.sjdaccountancy.com/about/rates_of_pay_contractors_developer_sql_java_C_Programmer_Consultant.html</t>
  </si>
  <si>
    <t>Discount Rate</t>
  </si>
  <si>
    <t>Ongoing Support Costs</t>
  </si>
  <si>
    <t>Day to train - but minor alteration</t>
  </si>
  <si>
    <t># of CSAs to be trained</t>
  </si>
  <si>
    <t>Cost of Training per CSA per day</t>
  </si>
  <si>
    <t>Cost of Training per Technical FTE per day</t>
  </si>
  <si>
    <t>TT</t>
  </si>
  <si>
    <t>Comments / Notes</t>
  </si>
  <si>
    <t>Agent Wage (fully loaded)</t>
  </si>
  <si>
    <t>£/mins</t>
  </si>
  <si>
    <t>Technical FTE Salary (fully loaded inc. benefits)</t>
  </si>
  <si>
    <t>£/min</t>
  </si>
  <si>
    <t>10-y NPC</t>
  </si>
  <si>
    <t>BTW</t>
  </si>
  <si>
    <t>Number of CPs in Segment</t>
  </si>
  <si>
    <t>Tier A</t>
  </si>
  <si>
    <t>Tier B</t>
  </si>
  <si>
    <t>Tier C</t>
  </si>
  <si>
    <t>Salaries</t>
  </si>
  <si>
    <t>NO. OF SWITCHES (IN)</t>
  </si>
  <si>
    <t>Var-OPEX (£)</t>
  </si>
  <si>
    <t>Fixed-OPEX (£)</t>
  </si>
  <si>
    <t>CAPEX (£)</t>
  </si>
  <si>
    <t>Total OPEX (£)</t>
  </si>
  <si>
    <t>TPI</t>
  </si>
  <si>
    <t>All CPs + OR must modify systems to send and receive confirmation messages across platforms&gt;&gt; However, the majority of the worlkload should be covered by the development of the new channel</t>
  </si>
  <si>
    <t># of order management FTEs to be trained</t>
  </si>
  <si>
    <t>All CPs + OR must modify systems to send and receive confirmation messages across platforms; this just covers the specific acitvity to document this part of the process
3 month project for 1 consultant for all large CPs; 50% for Tier B and 25% for Tier A due to the lower system complexity and people involved
Tier A and B</t>
  </si>
  <si>
    <t>Need to develop system to add the IS to the the letter and configure new comms release. Also need to change workflow to accommodate cooling off period and allow consumers to cancel. Note however the ISs are calculated in FE08
6-week activity</t>
  </si>
  <si>
    <t>Net Present Cost of OPEX</t>
  </si>
  <si>
    <t>CPs Tier B</t>
  </si>
  <si>
    <t>Sheet for user to configure the scenario and model to simulate</t>
  </si>
  <si>
    <t>Model Configuration Inputs</t>
  </si>
  <si>
    <t>User to select:</t>
  </si>
  <si>
    <t>Inputs_General</t>
  </si>
  <si>
    <t>Inputs</t>
  </si>
  <si>
    <t>Output</t>
  </si>
  <si>
    <t>Engine</t>
  </si>
  <si>
    <t>FE/AV/BE</t>
  </si>
  <si>
    <t>Use Case</t>
  </si>
  <si>
    <t>TMForum</t>
  </si>
  <si>
    <t>Unit</t>
  </si>
  <si>
    <t>FE</t>
  </si>
  <si>
    <t>Process</t>
  </si>
  <si>
    <t>Comments/Assumptions</t>
  </si>
  <si>
    <t>System</t>
  </si>
  <si>
    <t>Bill Calculation</t>
  </si>
  <si>
    <t>BE</t>
  </si>
  <si>
    <t>Customer Retention &amp; Loyalty</t>
  </si>
  <si>
    <t>temp</t>
  </si>
  <si>
    <t># of CSAs to be trained in CRM changes</t>
  </si>
  <si>
    <t># of training days</t>
  </si>
  <si>
    <t>Changes to documentation on ongoing basis</t>
  </si>
  <si>
    <t>system changes - Additional hardware/infrastructure</t>
  </si>
  <si>
    <t>System Changes - Ongoing Opex costs to maintain / operate</t>
  </si>
  <si>
    <t>Customer Information Management</t>
  </si>
  <si>
    <t>Baseline</t>
  </si>
  <si>
    <t>Low</t>
  </si>
  <si>
    <t>High</t>
  </si>
  <si>
    <t>Sensitivities</t>
  </si>
  <si>
    <t>Definitions</t>
  </si>
  <si>
    <t>Large CP which operates own systems</t>
  </si>
  <si>
    <t>IT Consultant Daily Rate</t>
  </si>
  <si>
    <t>CP-dependent Assumptions</t>
  </si>
  <si>
    <t>Cost Type</t>
  </si>
  <si>
    <t>Selected</t>
  </si>
  <si>
    <t>Total agent time</t>
  </si>
  <si>
    <t>Agent wage</t>
  </si>
  <si>
    <t>Switching Models</t>
  </si>
  <si>
    <t>Total Cost per Switch</t>
  </si>
  <si>
    <t>Tier C break-down for internal purpose only</t>
  </si>
  <si>
    <t>This sheet captures the general assumptions used in costing model</t>
  </si>
  <si>
    <t>Sensitivity Analysis</t>
  </si>
  <si>
    <t>Customer Interface Management</t>
  </si>
  <si>
    <t>Channel Sales Management</t>
  </si>
  <si>
    <t>CSR Toolbox</t>
  </si>
  <si>
    <t>Customer Order Management</t>
  </si>
  <si>
    <t>Service Order Management</t>
  </si>
  <si>
    <t>Partner Management</t>
  </si>
  <si>
    <t>Knowledge Management</t>
  </si>
  <si>
    <t>Customer Self Management</t>
  </si>
  <si>
    <t>Service Inventory Management</t>
  </si>
  <si>
    <t>Transactional Documentation Production</t>
  </si>
  <si>
    <t>Order Handling</t>
  </si>
  <si>
    <t>Service Configuration and Activation</t>
  </si>
  <si>
    <t># of days for delivery of system changes (e.g. ETC/Confirmation letters)</t>
  </si>
  <si>
    <t># of days for delivery of system and development  changes</t>
  </si>
  <si>
    <t># of CSAs to be trained in CIM changes</t>
  </si>
  <si>
    <t>Captures configuration required to 'Align the notice period to the switch period'</t>
  </si>
  <si>
    <t># of FTE's required/to be trained</t>
  </si>
  <si>
    <t xml:space="preserve"> - All aspects of CP order entry, to reflect the appropriate use of LP data for customer orders
- The customer order management systems should also store query-able information on the progress of a service switch request, thereby allowing the GP to send out confirmation letters to customers; and enabling LPs to calculate the ETCs</t>
  </si>
  <si>
    <t>Application Integration Infrastructure</t>
  </si>
  <si>
    <t>Summary of Changes</t>
  </si>
  <si>
    <t>Summary</t>
  </si>
  <si>
    <t>Switch/Cease</t>
  </si>
  <si>
    <t>Switch/Activation</t>
  </si>
  <si>
    <t>Switch/Cease/Activation</t>
  </si>
  <si>
    <t>Common information model as sharing data across GP-EMP-LP</t>
  </si>
  <si>
    <t>New Process: Pay TV (LP Sky or VM), Voice (LP VM), BB (LP VM)</t>
  </si>
  <si>
    <t>Switch/Switch</t>
  </si>
  <si>
    <t>Bill Invoice Management</t>
  </si>
  <si>
    <t># of CSAs to be trained in BIM changes</t>
  </si>
  <si>
    <t>SM&amp;O Support &amp; Readiness</t>
  </si>
  <si>
    <t>Process required for order request CRM only</t>
  </si>
  <si>
    <t>Order</t>
  </si>
  <si>
    <t>Switch/Activation/Cease/Order</t>
  </si>
  <si>
    <t>Captures 'STB sent before BB completion' (BT&amp;TT), 'Sync TV and BB activation with NP completion' (Sky) and 'GP to Sync TV and BB activation with NP completion' (VM)</t>
  </si>
  <si>
    <t>ID</t>
  </si>
  <si>
    <t>Title</t>
  </si>
  <si>
    <t>CRM Support &amp; Readiness</t>
  </si>
  <si>
    <t>GPL-EMP</t>
  </si>
  <si>
    <t>GPL-DCC</t>
  </si>
  <si>
    <t>eC&amp;R-EMP</t>
  </si>
  <si>
    <t>eC&amp;R-DCC</t>
  </si>
  <si>
    <t xml:space="preserve"> - This includes all processes to allow a CSA to converse with the customer, capture and enter customer details, manage customer  orders and execute front-end customer processes throughout the CPS process.</t>
  </si>
  <si>
    <t># of CSAs to be trained in Order Handling changes</t>
  </si>
  <si>
    <t># of CSAs to be trained in SM&amp;O changes</t>
  </si>
  <si>
    <t># of FTEs to be trained in SM&amp;O changes</t>
  </si>
  <si>
    <t>Major Change - ISs added to the monthly bill</t>
  </si>
  <si>
    <t>Major change - Record of Consent (Phone &amp; Web) - apply to Switch/Activation and Cancel FE use cases</t>
  </si>
  <si>
    <t>Major Change - GP and LP Letters with ISs/ETCs  - apply to Switch and Cease FE use cases</t>
  </si>
  <si>
    <t>Process required for order request only</t>
  </si>
  <si>
    <t>Order/Update</t>
  </si>
  <si>
    <t>Activation/Cancel</t>
  </si>
  <si>
    <t>Switch/Cease/Order/Cancel</t>
  </si>
  <si>
    <t>Switch/Cease/Order/Cancel/Update</t>
  </si>
  <si>
    <t>Major Change - FE Order Requests: apply to Switch/Activation/Cease/Order use cases and FE update/cancel requests</t>
  </si>
  <si>
    <t>Major Change - Asset Validation</t>
  </si>
  <si>
    <t>Major Change - BE Order Request; apply to GP switch order and BE update/cancel requests</t>
  </si>
  <si>
    <t>Major Change - GP sends confirmation of completed switch to LP</t>
  </si>
  <si>
    <t>Minor alteration to CRM and scripts for all CPs; BAU for the majority of CPs; small CPs don't document it; just onboard the new process - it also applies to Tier A since this has a direct impact on the interaction with the consumer and not in the TPI - split evenly across all 'processes' for particular major change</t>
  </si>
  <si>
    <t>Split evenly across all 'systems': 10-week project for 2 FTEs; analysis, implementation and testing activities to adjust storage capacity and define record categorisation; Storage for call recording provided by TPIs for Tier A</t>
  </si>
  <si>
    <t>SWITCHING COST</t>
  </si>
  <si>
    <t>NO. OF CP's</t>
  </si>
  <si>
    <t xml:space="preserve">Require CP account # for identification </t>
  </si>
  <si>
    <t>Asset validation - explain process to customer and ask for consent / preparation of new scripts</t>
  </si>
  <si>
    <t>Asset validation -across GP/EMP/LP
how to place the order for asset validation; what to do is something goes wrong, etc.</t>
  </si>
  <si>
    <t>Systems altered to accept acct-#s and use them to identify assets;  state earliest possible cease date - new message type
time estimate: 8 weeks for sol design and development/implementation across CIM, CSR toolbox and COM</t>
  </si>
  <si>
    <t>total number of days for system development</t>
  </si>
  <si>
    <t>total number of days for process development</t>
  </si>
  <si>
    <t>10% of the required process development work</t>
  </si>
  <si>
    <t>5% of the required process development work</t>
  </si>
  <si>
    <t>35% of the required process development work</t>
  </si>
  <si>
    <t>If CSAs needs to assist the customer.</t>
  </si>
  <si>
    <t>Systems altered to accept acct-#s and use them to identify assets - ORs systems need to do likewise;
costs for this are considered below as part of the inter-CP channel cost assessment
5%</t>
  </si>
  <si>
    <t>System required for Order request CRM only &gt;&gt; on the LP side for generating the final ETCs and disconnection charges
5%</t>
  </si>
  <si>
    <t>10% of the work effort</t>
  </si>
  <si>
    <t>40% of the work effort</t>
  </si>
  <si>
    <t># of Process Development days</t>
  </si>
  <si>
    <t>automated process and thus no CSA involved; CSAs informed of this change via the overall training</t>
  </si>
  <si>
    <t>total number of days for training</t>
  </si>
  <si>
    <t xml:space="preserve"># of FTE's to be trainded in Service C&amp;A </t>
  </si>
  <si>
    <t>Figures captured in summary view</t>
  </si>
  <si>
    <t>System work is Bill calculation only</t>
  </si>
  <si>
    <t>15% system development</t>
  </si>
  <si>
    <t xml:space="preserve">25% process development </t>
  </si>
  <si>
    <t xml:space="preserve">75% process development </t>
  </si>
  <si>
    <t>25% system development</t>
  </si>
  <si>
    <t>50% system development</t>
  </si>
  <si>
    <t>50% work effort</t>
  </si>
  <si>
    <t>work effort split evenly</t>
  </si>
  <si>
    <t>Not required for GPL Front-End</t>
  </si>
  <si>
    <t>5% system development</t>
  </si>
  <si>
    <t>Totals</t>
  </si>
  <si>
    <t>Synergy factor</t>
  </si>
  <si>
    <t>Add. Hardware 'synergy' factors in exact CAPEX of BE solution</t>
  </si>
  <si>
    <t xml:space="preserve">15% system development </t>
  </si>
  <si>
    <t>add. Hardware split evenly</t>
  </si>
  <si>
    <t>Only in FE</t>
  </si>
  <si>
    <t>Total Switches</t>
  </si>
  <si>
    <t xml:space="preserve"> </t>
  </si>
  <si>
    <t xml:space="preserve"> - Training to provide general overview of CPs and of the impacts to the CRM database                                                                                                                                                               - Updates to process documentation, training manuals, online wikis, help documents, FAQs, service catalogues, etc
</t>
  </si>
  <si>
    <t xml:space="preserve"> - This includes training for technical FTE's required to configure/implement the solutions and all process relating service fulfillment; design solution, managing service provisioning, testing etc.</t>
  </si>
  <si>
    <t xml:space="preserve"> - Training for CSA's in addressing specific customer queries regarding CPS, IS/ETS, Order/Cancel requests, changing switching date, etc.                                         - All process relating to managing all interfaces between enterprise and potential/existing customers; managing requests (including self service), mediate and orchestrate customer interactions, etc.</t>
  </si>
  <si>
    <t xml:space="preserve"> - Training for CSA's to understand changes to information provided to the customer regarding; monthly charges, IS, ETC, as well as managing an  invoice archive</t>
  </si>
  <si>
    <t xml:space="preserve"> - Ability to process leads, deal with order requests, provide service information and quote pricing, etc.                                                                                                                                              - Application provides necessary functionality to sell to a number of specific sales channels</t>
  </si>
  <si>
    <t xml:space="preserve"> - Knowledge Management (KM) comprises a range of practices used in an organisation to identify, create, represent, distribute and enable adoption of insights and experiences                                                                                                                                                                                                                                                                                                                                              - All aspects involving data warehousing (recording consent), CPs process documentation, customer FAQ's,  storing and protecting customer information, etc.</t>
  </si>
  <si>
    <t xml:space="preserve"> - Ensure the delivery of a consistent, accurate and complete customer view to operational and analytical touch-points across the service provider enterprise                                 - Ability to create, update, lookup/search and view customer information throughout the CPs processes, e.g., Customer Address, Contact, LP account number, IS/ETS, record switch consent, etc.</t>
  </si>
  <si>
    <t xml:space="preserve"> - Customer self-empowered applications provide an internet technology driven interface to the customer to undertake a variety of business functions directly for themselves                                                                                                                                                                                                                                                                                                                                          - Ability for customer to analyse own IS/ETS in conjunction with Bill, check eligability/availability of services, check quote pricing, check CPs switch/order/cancel status, etc.</t>
  </si>
  <si>
    <t xml:space="preserve"> - The CSR toolbox addresses the need for rich interactions with the customer, comprising of applications from the Fulfilment, Assurance and Billing domains                                - All aspects that support CSA's to drive service and satisafction as well as revenue opportunities through customer interactions across multiple channels (email, phone, letter correspondance)</t>
  </si>
  <si>
    <t xml:space="preserve"> - Service Order Management applications manage the end to end lifecycle of a service request                                                                                                                                                              - All aspects of service data collection, order validation, order issuance, configuration/activation management, etc.</t>
  </si>
  <si>
    <t xml:space="preserve"> - Functional enhancements to the interfaces with partners that can foster both vertical and horizontal communication and relationship channels throughout the CPS process when dealing with switch/order/cancel requests from the customer</t>
  </si>
  <si>
    <t xml:space="preserve"> - Open interface that allows for business process control e.g. contract interfaces between applications and a common information model shared betweeen applications for synced updates -  e.g. changing switch date or cancellations</t>
  </si>
  <si>
    <t xml:space="preserve"> - The purpose of this application is to calculate a convergent bill for next-generation voice, data, content, and commerce services - Including prepaid and post-paid services in a single convergent bill</t>
  </si>
  <si>
    <t>Training relating to this solution will be captured as part of the overall training - captured under FE order request major change</t>
  </si>
  <si>
    <t>Beyond changing the script, the agents will need info on CP a/c number formats so they can do some initial validation. Also where on the bill to look for it. Captures configuration required to 'Align the notice period to the switch period'</t>
  </si>
  <si>
    <t>This sheet captures CP related assumptions used in costing model e.g. training cost and volumes</t>
  </si>
  <si>
    <t>% of switchers accepting GP coordination (under eCR)</t>
  </si>
  <si>
    <t>- Updates to process documentation, training manuals, online wikis, help documents, FAQs, service catalogues, etc.
 - Training to provide general overview of CPs and of the impacts to the CRM database</t>
  </si>
  <si>
    <t xml:space="preserve"> - This covers all processes to allow a CSA to converse with the customer, capture and enter customer details, manage customer  orders and execute front-end customer processes throughout the CPS process.</t>
  </si>
  <si>
    <t xml:space="preserve"> - Training to provide general overview of CPs impacts on ability to manage service inventory and provisioning, enable service conguration and activation, enable service quality management, etc.</t>
  </si>
  <si>
    <t xml:space="preserve"> - Training to provide general overview of CP impacts on ability to manage service inventory and provisioning, enable service conguration and activation, enable service quality management, etc.</t>
  </si>
  <si>
    <t># of CSAs  to be trained in SM&amp;O changes</t>
  </si>
  <si>
    <t>Inputs_Switchers</t>
  </si>
  <si>
    <t>Cost of Training per FTE per day</t>
  </si>
  <si>
    <t>IS added to Monthly Bill</t>
  </si>
  <si>
    <t>IS added to the Monthly Bill</t>
  </si>
  <si>
    <t xml:space="preserve"># of CSAs  to be trained </t>
  </si>
  <si>
    <t>MODEL</t>
  </si>
  <si>
    <t>CAPEX Sensitivity Factor</t>
  </si>
  <si>
    <t>Solution Flexing</t>
  </si>
  <si>
    <t>Record of Consent</t>
  </si>
  <si>
    <t>GP/LP Letters with IS/ETC's</t>
  </si>
  <si>
    <t>Asset Validation</t>
  </si>
  <si>
    <t>GP sends confirmation of completed switch to LP</t>
  </si>
  <si>
    <t>BE Order Request</t>
  </si>
  <si>
    <t>FE Order Request</t>
  </si>
  <si>
    <t>Sensitivity Factors</t>
  </si>
  <si>
    <t>On/Off</t>
  </si>
  <si>
    <t>Disc_Rate</t>
  </si>
  <si>
    <t>CAPEX_Factor</t>
  </si>
  <si>
    <t>Shorthand Name Ranges</t>
  </si>
  <si>
    <t>Loading factor</t>
  </si>
  <si>
    <t>Sheet providing a high-level summary of the cost calculations for the alternative switching models</t>
  </si>
  <si>
    <t xml:space="preserve">Sensitivity factor adjusts Independent Costs Summary to relfect a +/- % change in CAPEX; </t>
  </si>
  <si>
    <t>% of switchers using GPL process (under GPL)</t>
  </si>
  <si>
    <t>Project Management time</t>
  </si>
  <si>
    <t>of the overall development time</t>
  </si>
  <si>
    <t xml:space="preserve">Synergy Factors </t>
  </si>
  <si>
    <t>'IS added to Monthly Bill' Solution</t>
  </si>
  <si>
    <t>Back-End</t>
  </si>
  <si>
    <t>Front-end</t>
  </si>
  <si>
    <t>Front-End</t>
  </si>
  <si>
    <t>Rationale / Comments</t>
  </si>
  <si>
    <t xml:space="preserve">The standard discount rate is set as the Social Time Preference Rate (STPR) of 3.50%, as recommended by the HM treasury Green Book.   </t>
  </si>
  <si>
    <t>The synergy factor represents the amount of time/cost overlapping among similar tasks (per process and system application). Synergies can be found on Proj. Mgt time, BE development time (e.g. channel implementation), process documentation, and training; different process and system development synergies are captured for the FE and BE stages.</t>
  </si>
  <si>
    <t>Annuity Factor</t>
  </si>
  <si>
    <t>WACC</t>
  </si>
  <si>
    <t>Time Period</t>
  </si>
  <si>
    <t>Years</t>
  </si>
  <si>
    <t>Same synergy levels are assumed across the Front-End and the Back-End for process development; it accounts for training, documentation and project management potential time overlapping.
The 80:20 rule is used.</t>
  </si>
  <si>
    <t>Technical FTE Salary (salary basis)</t>
  </si>
  <si>
    <t>Average of £50,000 salary for the top roles in the IT/Telecom industry.
Source: http://www.reed.co.uk/average-salary/it-telecoms</t>
  </si>
  <si>
    <t>Considered avg. 240 w.d. and 8hr shifts.</t>
  </si>
  <si>
    <t>£/year</t>
  </si>
  <si>
    <t>Net Present Cost</t>
  </si>
  <si>
    <t>Factor used to calculate the annualised CAPEX (Financing Cost of Capital)</t>
  </si>
  <si>
    <t>Discount Methodology</t>
  </si>
  <si>
    <t>Discount Methodology Factors</t>
  </si>
  <si>
    <t>Financing Rate</t>
  </si>
  <si>
    <t>Time Period (years)</t>
  </si>
  <si>
    <t>Total Delivery Effort Assumptions (man-days)</t>
  </si>
  <si>
    <t>flat training duration across all changes</t>
  </si>
  <si>
    <t>Total cost of system changes - Additional hardware</t>
  </si>
  <si>
    <t>GPL-EMP Process Workings</t>
  </si>
  <si>
    <t>eC&amp;R-DCC Process Workings</t>
  </si>
  <si>
    <t>eC&amp;R-DCC System Workings</t>
  </si>
  <si>
    <t>eC&amp;R-EMP Process Workings</t>
  </si>
  <si>
    <t>eC&amp;R-EMP System Workings</t>
  </si>
  <si>
    <t>GPL-EMP System Workings</t>
  </si>
  <si>
    <t>GPL-DCC Process Workings</t>
  </si>
  <si>
    <t>GPL-DCC System Workings</t>
  </si>
  <si>
    <t>This sheet provides an overview of the total cost of delivery of the system changes for implementing the GPL-EMP switching model</t>
  </si>
  <si>
    <t>This sheet provides an overview of the total cost of delivery of the process changes for implementing the GPL-EMP switching model</t>
  </si>
  <si>
    <t>This sheet provides an overview of the total cost of delivery of the process changes for implementing the GPL-DCC switching model</t>
  </si>
  <si>
    <t>This sheet provides an overview of the total cost of delivery of the system changes for implementing the GPL-DCC switching model</t>
  </si>
  <si>
    <t>This sheet provides an overview of the total cost of delivery of the process changes for implementing the eC&amp;R-EMP switching model</t>
  </si>
  <si>
    <t>This sheet provides an overview of the total cost of delivery of the system changes for implementing the eC&amp;R-EMP switching model</t>
  </si>
  <si>
    <t>This sheet provides an overview of the total cost of delivery of the process changes for implementing the eC&amp;R-DCC switching model</t>
  </si>
  <si>
    <t>This sheet provides an overview of the total cost of delivery of the system changes for implementing the eC&amp;R-DCC switching model</t>
  </si>
  <si>
    <t>Process Delivery (documentation and training)</t>
  </si>
  <si>
    <t>System Delivery</t>
  </si>
  <si>
    <t>Standard Processes</t>
  </si>
  <si>
    <t>Complex Processes</t>
  </si>
  <si>
    <t>FE Standard Systems</t>
  </si>
  <si>
    <t>FE Complex Systems</t>
  </si>
  <si>
    <t>Sensitivity_IS_Bill</t>
  </si>
  <si>
    <t>Sensitivity_Rec_Consent</t>
  </si>
  <si>
    <t>Sensitivity_FE_Order</t>
  </si>
  <si>
    <t>Sensitivity_GP_FE_Comms</t>
  </si>
  <si>
    <t>Sensitivity_Asset_Val</t>
  </si>
  <si>
    <t>Sensitivity_BE_Order</t>
  </si>
  <si>
    <t>Sensitivity_GP_BE_Comms</t>
  </si>
  <si>
    <t>DCC Back-End Complex Systems</t>
  </si>
  <si>
    <t>DCC Back-End Standard Systems</t>
  </si>
  <si>
    <t>EMP Back-End Standard Systems</t>
  </si>
  <si>
    <t>EMP Back-End Complex Systems</t>
  </si>
  <si>
    <t>FE Advanced Systems</t>
  </si>
  <si>
    <t>technical_FTE_salary</t>
  </si>
  <si>
    <t>IT_consultant_daily_rate</t>
  </si>
  <si>
    <t>Cartesian Estimate; 60% loading factor to cover additional expenses from the employer perspective e.g. social security, health insurance, taxes, pension, and others;</t>
  </si>
  <si>
    <t>agent_wage</t>
  </si>
  <si>
    <t>% of the required process development work</t>
  </si>
  <si>
    <t>Major Change - New termination channels</t>
  </si>
  <si>
    <t>Termination Channels</t>
  </si>
  <si>
    <t>Sensitivity_Term_channels</t>
  </si>
  <si>
    <t>SYSTEM WORKINGS</t>
  </si>
  <si>
    <t>PROCESS WORKINGS</t>
  </si>
  <si>
    <t>additional time to complete asset validation</t>
  </si>
  <si>
    <t>% who cancel by webchat</t>
  </si>
  <si>
    <t>Average blended agent time</t>
  </si>
  <si>
    <t>Average agent time taken during termination by webchat</t>
  </si>
  <si>
    <t>% of switchers no longer contacting the LP (under GPL)</t>
  </si>
  <si>
    <t>% of switchers using the process/model</t>
  </si>
  <si>
    <t>Calculations</t>
  </si>
  <si>
    <t>additional time to complete switch</t>
  </si>
  <si>
    <t>Total Average Agent Time savings</t>
  </si>
  <si>
    <t>Total Average Additional Agent Time to complete Switch</t>
  </si>
  <si>
    <t>effot split for implementing changes</t>
  </si>
  <si>
    <t>Fixed Opex</t>
  </si>
  <si>
    <t>Var Opex</t>
  </si>
  <si>
    <t>Inputs_Estimates</t>
  </si>
  <si>
    <t>EMP Back-End Complex Systems - for Openreach</t>
  </si>
  <si>
    <t>Standard_Process_Effort</t>
  </si>
  <si>
    <t>FE_Complex_Sys_Effort</t>
  </si>
  <si>
    <t>Complex_Process_Effort</t>
  </si>
  <si>
    <t>FE_Standard_Sys_Effort</t>
  </si>
  <si>
    <t>5 Third Party Integrators (TPIs); Cartesian estimate</t>
  </si>
  <si>
    <t>Input data provided by Ofcom based on a formal information request from providers;</t>
  </si>
  <si>
    <t xml:space="preserve">Real WACC, provided by Ofcom by WACCs previously applied by Ofcom to telecoms operators, including most recently a pre-tax nominal WACC of 9.9% for BT Group in the 2016 LLCC Statement http://stakeholders.ofcom.org.uk/binaries/consultations/bcmr-2015/statement/final-annexes-29-30.pdf </t>
  </si>
  <si>
    <t>% who cancel by phone and direct debit</t>
  </si>
  <si>
    <t>Average agent time taken during termination by phone and direct debit</t>
  </si>
  <si>
    <t>Source: Cartesian Estimate</t>
  </si>
  <si>
    <t># of webchats active simultaneously per agent</t>
  </si>
  <si>
    <t>% of switchers cancelling via online portal or IVR (under eC&amp;R)</t>
  </si>
  <si>
    <t>This sheet captures the different assumptions for the delivery effort estimates. These estimates are applied to each one of the major changes per switching model in the 'Inputs_Estimates' tab.</t>
  </si>
  <si>
    <t>Time_Period</t>
  </si>
  <si>
    <t>Process changes are required to address the following solutions; IS added to monthly bill, CP's provide online ETS calculator, Recording  consent (switch and cancellation), FE order requests, Sending GP and LP letters with IS/ETC, Asset validation, BE order requests and GP confirmation letter to LP</t>
  </si>
  <si>
    <t>Process changes are required for solutions; CP's provide online ETS calculator, Recording consent (switch and cancellation), FE order requests and Asset validation</t>
  </si>
  <si>
    <t>Process chnages are required for solutions; Recording  consent (switch and cancellation), FE order requests, Sending GP and LP letters with IS/ETC, Asset validation, BE order requests and GP confirmation letter to LP</t>
  </si>
  <si>
    <t>Process chnages are required for solutions; CP's provide online ETS calculator, Recording  consent (switch and cancellation), FE order requests and Asset validation</t>
  </si>
  <si>
    <t>Process chnages are required for solutions; IS added to monthly bill, CP's provide online ETS calculator and FE order requests</t>
  </si>
  <si>
    <t>Process chnages are required for solution; FE order requests</t>
  </si>
  <si>
    <t>System changes are required to address the following solutions: Recording consent (switch/cancellation) and FE order requests</t>
  </si>
  <si>
    <t>System changes are required to address the following solutions: Recording consent (switch/cancellation)</t>
  </si>
  <si>
    <t>System changes are required to address the following solutions: Recording consent (switch/cancellation),  FE order requests and Asset validation</t>
  </si>
  <si>
    <t>System changes are required to address the following solutions: CP's provide online ETS calculator, Recording consent (switch/cancellation) and FE order requests</t>
  </si>
  <si>
    <t>System changes are required to address the following solutions: FE order requests, Sending GP and LP letters with IS/ETC, Asset validation, BE order requests and GP confirmation letter to LP</t>
  </si>
  <si>
    <t>System changes are required to address the following solutions: FE order requests</t>
  </si>
  <si>
    <t>System changes are required to address the following solutions: Asset validation, BE order requests and GP confirmation letter to LP</t>
  </si>
  <si>
    <t>System changes are required to address the following solutions: CP's provide online ETS calculator</t>
  </si>
  <si>
    <t>System changes are required to addresss the following solutions; IS added to monthly bill and CP's provide online ETS calculator and FE order requests</t>
  </si>
  <si>
    <t>System changes are required to address the following solutions: Sending GP and LP letters with IS/ETC</t>
  </si>
  <si>
    <t>Systemm changes are required to address the following solutions: Asset validation, BE order requests and GP confirmation letter to LP</t>
  </si>
  <si>
    <t>Process changes are required to address the following solutions; CP's provide online ETS calculator, Recording consent (switch and cancellation), FE order requests and Asset validation</t>
  </si>
  <si>
    <t>Process changes are required to address the following solutions: Recording  consent (switch and cancellation), FE order requests, Sending GP and LP letters with IS/ETC, Asset validation, BE order requests and GP confirmation letter to LP</t>
  </si>
  <si>
    <t>Process changes are required to address the following solutions: CP's provide online ETS calculator, Recording  consent (switch and cancellation), FE order requests and Asset validation</t>
  </si>
  <si>
    <t>Process changes are required to address the following solutions: IS added to monthly bill, CP's provide online ETS calculator and FE order requests</t>
  </si>
  <si>
    <t>Process changes are required to address the following solutions: FE order requests</t>
  </si>
  <si>
    <t>Systemchanges are required to address the following solutions: CP's provide online ETS calculator</t>
  </si>
  <si>
    <t>Process changes are required for solution; FE order requests</t>
  </si>
  <si>
    <t>Process changes are required for solutions; IS added to monthly bill, CP's provide online ETS calculator, New termination channels, Recording  consent (switch and cancellation), FE order requests, Sending GP and LP letters with IS/ETC, Asset validation, BE order requests and GP confirmation letter to LP</t>
  </si>
  <si>
    <t>Process changes are required for solutions; CP's provide online ETS calculator, New termination channels, Recording consent (switch and cancellation), FE order requests and Asset validation</t>
  </si>
  <si>
    <t>Process changes are  required for solutions; New termination channels, Recording  consent (switch and cancellation), FE order requests, Sending GP and LP letters with IS/ETC, Asset validation, BE order requests and GP confirmation letter to LP</t>
  </si>
  <si>
    <t>Process changes are  required for solutions; CP's provide online ETS calculator, New termination channels, Recording  consent (switch and cancellation), FE order requests and Asset validation</t>
  </si>
  <si>
    <t>Process changes are  required for solutions; IS added to monthly bill, CP's provide online ETS calculator, New termination channels and FE order requests</t>
  </si>
  <si>
    <t>System changes are required to address the following solutions: New termination channels, Recording consent (switch/cancellation),  FE order requests and Asset validation</t>
  </si>
  <si>
    <t>System changes are required to address the following solutions: CP's provide online ETS calculator, New termination channels, Recording consent (switch/cancellation) and FE order requests</t>
  </si>
  <si>
    <t>System changes are required to address the following solutions: New termination channels, FE order requests, Sending GP and LP letters with IS/ETC, Asset validation, BE order requests and GP confirmation letter to LP</t>
  </si>
  <si>
    <t>System changes are required to address the following solutions: CP's provide online ETS calculator and New termination channels</t>
  </si>
  <si>
    <t>System changes are required to addresss the following solutions; IS added to monthly bill, CP's provide online ETS calculator, New termination channels and FE order requests</t>
  </si>
  <si>
    <t>Process changes are required for solutions; New termination channels, Recording  consent (switch and cancellation), FE order requests, Sending GP and LP letters with IS/ETC, Asset validation, BE order requests and GP confirmation letter to LP</t>
  </si>
  <si>
    <t>Process changes are required for solutions; CP's provide online ETS calculator, New termination channels, Recording  consent (switch and cancellation), FE order requests and Asset validation</t>
  </si>
  <si>
    <t>Process changes are required for solutions; IS added to monthly bill, CP's provide online ETS calculator New termination channels and FE order requests</t>
  </si>
  <si>
    <t>Only one instance in FE - no synergy</t>
  </si>
  <si>
    <t>Only one instance in BE - no synergy</t>
  </si>
  <si>
    <t>Training time (days)</t>
  </si>
  <si>
    <t>total cost of additional hardware/infrastructure</t>
  </si>
  <si>
    <t>Total delivery effort (process &amp; system)</t>
  </si>
  <si>
    <t>FE_vComplex_Sys_Effort</t>
  </si>
  <si>
    <t>EMP_Standard_Sys_Effort</t>
  </si>
  <si>
    <t>EMP_Complex_Sys_Effort</t>
  </si>
  <si>
    <t>EMP_Complex_Sys_Effort_OR</t>
  </si>
  <si>
    <t>DCC_Standard_Sys_Effort</t>
  </si>
  <si>
    <t>DCC_Complex_Sys_Effort</t>
  </si>
  <si>
    <t>PM_Overhead</t>
  </si>
  <si>
    <t>Training_Duration</t>
  </si>
  <si>
    <t>This sheet calculates the total cost per switch derived from the different time assumptions for each of the identified switching scenarios</t>
  </si>
  <si>
    <t>total system changes - Additional hardware/infrastructure</t>
  </si>
  <si>
    <t xml:space="preserve"> - Training for CSA's in addressing specific customer queries regarding CPS, IS/ETS, Order/Cancel requests, changing switching date, etc.                                      
   - All process relating to managing all interfaces between enterprise and potential/existing customers; managing requests (including self service), mediate and orchestrate customer interactions, etc.</t>
  </si>
  <si>
    <t>Number of Switches</t>
  </si>
  <si>
    <t>- FE order request</t>
  </si>
  <si>
    <t>- termination channels
- record of consent
-CP comms</t>
  </si>
  <si>
    <t>- termination channels
- FE order request
- Asset validation</t>
  </si>
  <si>
    <t>- IS added to the monthly bill
- Record of consent
- CP comms
- BE order request
- switch confirmation message</t>
  </si>
  <si>
    <t>- asset validation
- BE order request
- switch confirmation message</t>
  </si>
  <si>
    <t xml:space="preserve">% Tier C delivery effort for Tier B ratio </t>
  </si>
  <si>
    <t>This sheet contains the independent time estimates for the development effort for each of the impacted processes and system applications per each alternative switching model, as identified in the process spec documents; a summary view of the estimates is presented at the top; break-down per each major process change below.</t>
  </si>
  <si>
    <t>Openreach has to configure the routing of messages in addition to the changes to the interfaces</t>
  </si>
  <si>
    <t>Cartesian Assumption</t>
  </si>
  <si>
    <t>Cartesian Assumptions</t>
  </si>
  <si>
    <t>TPI - will have same systems CAPEX and OPEX as Tier B but without the process costs</t>
  </si>
  <si>
    <t>Tier A contains the small, simple CPs, which use the billing and operational support systems of a third party integrator (TPI);</t>
  </si>
  <si>
    <t>Tier B contains medium sized CPs, which develop and support their own systems.</t>
  </si>
  <si>
    <t>Number of Switchers</t>
  </si>
  <si>
    <t>num_switchers</t>
  </si>
  <si>
    <t>Hardware Costs (record of consent)</t>
  </si>
  <si>
    <t>hw_record_consent_costs</t>
  </si>
  <si>
    <t>hw_interface_costs</t>
  </si>
  <si>
    <t>TierC_TierB_ratio</t>
  </si>
  <si>
    <t>Hardware Costs (inter-CP channel interfaces)</t>
  </si>
  <si>
    <t>- asset validation</t>
  </si>
  <si>
    <t>- IS added to the monthly bill</t>
  </si>
  <si>
    <t>Effort Category</t>
  </si>
  <si>
    <t>Major Changes the effort estimates apply to</t>
  </si>
  <si>
    <t>Sensitivity factor adjusts Inputs_Switchers to reflect a +/- % change in the number of switches</t>
  </si>
  <si>
    <t>11 CPs who are above 10,000 but who are not Tier C CPs; estimated by Ofcom based on Openreach and Simplifydigital</t>
  </si>
  <si>
    <t>50 CPs with between 100 and 10,000 lines; Cartesian estimate</t>
  </si>
  <si>
    <t>4 Largest CPs (BT, Sky, Virgin, Talk Talk);</t>
  </si>
  <si>
    <t>Output of NPC analysis of future switching scenarios over 10 year period for Tier A and TPIs</t>
  </si>
  <si>
    <t>Output of NPC analysis of future switching scenarios over 10 year period, for Tier B and C</t>
  </si>
  <si>
    <t>reduction in % switchers using phone for cancelling (under ec&amp;R)</t>
  </si>
  <si>
    <t>increase in % switchers using webchat for cancelling (under eC&amp;R)</t>
  </si>
  <si>
    <t>Total Average Additional Agent Time due to increase of use of webchat for cancelling</t>
  </si>
  <si>
    <t>Average agent time post contact for making notes</t>
  </si>
  <si>
    <t>agent_time_postcontact</t>
  </si>
  <si>
    <t>agent_time_cancel_webchat</t>
  </si>
  <si>
    <t>agent_time_cancel_phone</t>
  </si>
  <si>
    <t>active_live_chats</t>
  </si>
  <si>
    <t>perc_cancel_webchat</t>
  </si>
  <si>
    <t>perc_cancel_phone_DD</t>
  </si>
  <si>
    <t>agent_time_cancel_blended</t>
  </si>
  <si>
    <t>delta_cancel_using_phone</t>
  </si>
  <si>
    <t>delta_cancel_using_webchat</t>
  </si>
  <si>
    <t>additional_time_complete_switch</t>
  </si>
  <si>
    <t>additional_time_asset_val</t>
  </si>
  <si>
    <t>perc_using_GPL_process</t>
  </si>
  <si>
    <t>perc_switchers_not_contacting_LP</t>
  </si>
  <si>
    <t>perc_using_eCR_process</t>
  </si>
  <si>
    <t>perc_cancel_using_IVR_online</t>
  </si>
  <si>
    <t>Only in FE; applied here as effort not sum at the summary table</t>
  </si>
  <si>
    <t>Note that for OR, the effort split is 50% and not 25% - only two systems impacted rather than 4; more work required for OR on these two systems than for the other CPs</t>
  </si>
  <si>
    <t>This sheet provides an overview of the total cost of delivery of the process and system changes for implementing the model-independent solutions: IS added to the monthly bill</t>
  </si>
  <si>
    <t>The rationale behind the effort estimates follow the industry standard high-level delivery stages like req. gathering, solution design, documentation, implementation, testing; The effort estimates are applied to each one of the major changes as defined in the 'Inputs_Delivery_Effort 'tab;</t>
  </si>
  <si>
    <t xml:space="preserve">Back-end system development are more complex than for the front-end; </t>
  </si>
  <si>
    <t>total</t>
  </si>
  <si>
    <t>Tier A and TPI Back-End Delivery Efforts</t>
  </si>
  <si>
    <t>On</t>
  </si>
  <si>
    <t>Spackman</t>
  </si>
  <si>
    <t>Number of CSA's/FTE's trained per session</t>
  </si>
  <si>
    <t>Trainees_per_session</t>
  </si>
  <si>
    <t>Cartesian estimate; cost of training is calculated as the time not spending by the agent in his functions during the training + cost of trainer (Assumed as cost of Technical FTE/number of trainees per training session)</t>
  </si>
  <si>
    <t>Cartesian estimate; cost of training is calculated as the time not spending by the FTE in his functions during the training + cost of trainer (Assumed as cost of Technical FTE/number of trainees per training session)</t>
  </si>
  <si>
    <t>Additional VM Effort</t>
  </si>
  <si>
    <t>Additional_VM_Effort</t>
  </si>
  <si>
    <t>an extra month is assumed for delivery a new channel platform from scratch</t>
  </si>
  <si>
    <t>specific to EMP BE major changes</t>
  </si>
  <si>
    <r>
      <t xml:space="preserve">Processes: </t>
    </r>
    <r>
      <rPr>
        <sz val="10"/>
        <color theme="0"/>
        <rFont val="Calibri"/>
        <family val="2"/>
        <scheme val="minor"/>
      </rPr>
      <t>20% accounts for training, documentation and  PM synergies;</t>
    </r>
    <r>
      <rPr>
        <b/>
        <sz val="10"/>
        <color theme="0"/>
        <rFont val="Calibri"/>
        <family val="2"/>
        <scheme val="minor"/>
      </rPr>
      <t xml:space="preserve">
Systems: </t>
    </r>
    <r>
      <rPr>
        <sz val="10"/>
        <color theme="0"/>
        <rFont val="Calibri"/>
        <family val="2"/>
        <scheme val="minor"/>
      </rPr>
      <t>10% accounts for PM synergies;</t>
    </r>
  </si>
  <si>
    <r>
      <t xml:space="preserve">Processes: </t>
    </r>
    <r>
      <rPr>
        <sz val="10"/>
        <color theme="0"/>
        <rFont val="Calibri"/>
        <family val="2"/>
        <scheme val="minor"/>
      </rPr>
      <t>20% accounts  for training, documentation,  and PM synergies;</t>
    </r>
    <r>
      <rPr>
        <b/>
        <sz val="10"/>
        <color theme="0"/>
        <rFont val="Calibri"/>
        <family val="2"/>
        <scheme val="minor"/>
      </rPr>
      <t xml:space="preserve">
Systems: </t>
    </r>
    <r>
      <rPr>
        <sz val="10"/>
        <color theme="0"/>
        <rFont val="Calibri"/>
        <family val="2"/>
        <scheme val="minor"/>
      </rPr>
      <t>70% synergy accounts for headline cost of BE system</t>
    </r>
  </si>
  <si>
    <r>
      <t xml:space="preserve"> - </t>
    </r>
    <r>
      <rPr>
        <sz val="10"/>
        <rFont val="Calibri"/>
        <family val="2"/>
        <scheme val="minor"/>
      </rPr>
      <t>A Service Inventory application may store and manage customer or resource facing service instances, and their attributes                                                                                                      - The Service Inventory may also store and manage service relationships</t>
    </r>
  </si>
  <si>
    <r>
      <t xml:space="preserve"> - </t>
    </r>
    <r>
      <rPr>
        <sz val="10"/>
        <rFont val="Calibri"/>
        <family val="2"/>
        <scheme val="minor"/>
      </rPr>
      <t>Ability to verify customer relationship, build customer insight, analyse and manage customer interaction</t>
    </r>
  </si>
  <si>
    <r>
      <t xml:space="preserve"> - </t>
    </r>
    <r>
      <rPr>
        <sz val="10"/>
        <rFont val="Calibri"/>
        <family val="2"/>
        <scheme val="minor"/>
      </rPr>
      <t>Ability to create documentation suchs as bills, invoices, letters, statements with requisite information e.g. IS/ETS, outstanding charges, confirmation of switch/cancellation etc.</t>
    </r>
  </si>
  <si>
    <r>
      <t>Assumptions</t>
    </r>
    <r>
      <rPr>
        <sz val="10"/>
        <color theme="0"/>
        <rFont val="Calibri"/>
        <family val="2"/>
        <scheme val="minor"/>
      </rPr>
      <t xml:space="preserve">
- Same effort across all the models
- </t>
    </r>
    <r>
      <rPr>
        <b/>
        <sz val="10"/>
        <color theme="0"/>
        <rFont val="Calibri"/>
        <family val="2"/>
        <scheme val="minor"/>
      </rPr>
      <t>what's required:</t>
    </r>
    <r>
      <rPr>
        <sz val="10"/>
        <color theme="0"/>
        <rFont val="Calibri"/>
        <family val="2"/>
        <scheme val="minor"/>
      </rPr>
      <t xml:space="preserve"> change the bill template and implement the automated calculation of the ETCs and ISs every month (bill cycle) &gt;&gt; quite delicate;
</t>
    </r>
    <r>
      <rPr>
        <b/>
        <sz val="10"/>
        <color theme="0"/>
        <rFont val="Calibri"/>
        <family val="2"/>
        <scheme val="minor"/>
      </rPr>
      <t xml:space="preserve">- Process development &gt;&gt; </t>
    </r>
    <r>
      <rPr>
        <sz val="10"/>
        <color theme="0"/>
        <rFont val="Calibri"/>
        <family val="2"/>
        <scheme val="minor"/>
      </rPr>
      <t>Standard Process Effort= 6 weeks + 10% PM time; split ratios [50% -50%]</t>
    </r>
    <r>
      <rPr>
        <b/>
        <sz val="10"/>
        <color theme="0"/>
        <rFont val="Calibri"/>
        <family val="2"/>
        <scheme val="minor"/>
      </rPr>
      <t xml:space="preserve">
- System development &gt;&gt; </t>
    </r>
    <r>
      <rPr>
        <sz val="10"/>
        <color theme="0"/>
        <rFont val="Calibri"/>
        <family val="2"/>
        <scheme val="minor"/>
      </rPr>
      <t xml:space="preserve">FE Complex System Effort  = 24 weeks + 10% PM time
- </t>
    </r>
    <r>
      <rPr>
        <b/>
        <sz val="10"/>
        <color theme="0"/>
        <rFont val="Calibri"/>
        <family val="2"/>
        <scheme val="minor"/>
      </rPr>
      <t>Training:</t>
    </r>
    <r>
      <rPr>
        <sz val="10"/>
        <color theme="0"/>
        <rFont val="Calibri"/>
        <family val="2"/>
        <scheme val="minor"/>
      </rPr>
      <t xml:space="preserve"> not required</t>
    </r>
  </si>
  <si>
    <r>
      <t>Assumptions</t>
    </r>
    <r>
      <rPr>
        <sz val="10"/>
        <color theme="0"/>
        <rFont val="Calibri"/>
        <family val="2"/>
        <scheme val="minor"/>
      </rPr>
      <t xml:space="preserve">
- It only applies to the eC&amp;R models
- </t>
    </r>
    <r>
      <rPr>
        <b/>
        <sz val="10"/>
        <color theme="0"/>
        <rFont val="Calibri"/>
        <family val="2"/>
        <scheme val="minor"/>
      </rPr>
      <t>what's required:</t>
    </r>
    <r>
      <rPr>
        <sz val="10"/>
        <color theme="0"/>
        <rFont val="Calibri"/>
        <family val="2"/>
        <scheme val="minor"/>
      </rPr>
      <t xml:space="preserve"> implementation of the two new termination channels: IVR and online portal
</t>
    </r>
    <r>
      <rPr>
        <b/>
        <sz val="10"/>
        <color theme="0"/>
        <rFont val="Calibri"/>
        <family val="2"/>
        <scheme val="minor"/>
      </rPr>
      <t xml:space="preserve">- Process development &gt;&gt; </t>
    </r>
    <r>
      <rPr>
        <sz val="10"/>
        <color theme="0"/>
        <rFont val="Calibri"/>
        <family val="2"/>
        <scheme val="minor"/>
      </rPr>
      <t>Complex Process Effort= 12 weeks + 10% PM time; split ratios as indicated</t>
    </r>
    <r>
      <rPr>
        <b/>
        <sz val="10"/>
        <color theme="0"/>
        <rFont val="Calibri"/>
        <family val="2"/>
        <scheme val="minor"/>
      </rPr>
      <t xml:space="preserve">
- System development &gt;&gt; </t>
    </r>
    <r>
      <rPr>
        <sz val="10"/>
        <color theme="0"/>
        <rFont val="Calibri"/>
        <family val="2"/>
        <scheme val="minor"/>
      </rPr>
      <t xml:space="preserve">FE Standard System Effort  = 12 weeks + 10% PM time
- </t>
    </r>
    <r>
      <rPr>
        <b/>
        <sz val="10"/>
        <color theme="0"/>
        <rFont val="Calibri"/>
        <family val="2"/>
        <scheme val="minor"/>
      </rPr>
      <t xml:space="preserve">hardware: </t>
    </r>
    <r>
      <rPr>
        <sz val="10"/>
        <color theme="0"/>
        <rFont val="Calibri"/>
        <family val="2"/>
        <scheme val="minor"/>
      </rPr>
      <t xml:space="preserve">for both cases, the hardware is avialable; just new funcitonalities added; thus, no extra cost is considered
- </t>
    </r>
    <r>
      <rPr>
        <b/>
        <sz val="10"/>
        <color theme="0"/>
        <rFont val="Calibri"/>
        <family val="2"/>
        <scheme val="minor"/>
      </rPr>
      <t>Training:</t>
    </r>
    <r>
      <rPr>
        <sz val="10"/>
        <color theme="0"/>
        <rFont val="Calibri"/>
        <family val="2"/>
        <scheme val="minor"/>
      </rPr>
      <t xml:space="preserve"> split evenly</t>
    </r>
  </si>
  <si>
    <r>
      <t>Assumptions</t>
    </r>
    <r>
      <rPr>
        <sz val="10"/>
        <color theme="0"/>
        <rFont val="Calibri"/>
        <family val="2"/>
        <scheme val="minor"/>
      </rPr>
      <t xml:space="preserve">
- Same effort across all the models
- </t>
    </r>
    <r>
      <rPr>
        <b/>
        <sz val="10"/>
        <color theme="0"/>
        <rFont val="Calibri"/>
        <family val="2"/>
        <scheme val="minor"/>
      </rPr>
      <t>what's required:</t>
    </r>
    <r>
      <rPr>
        <sz val="10"/>
        <color theme="0"/>
        <rFont val="Calibri"/>
        <family val="2"/>
        <scheme val="minor"/>
      </rPr>
      <t xml:space="preserve"> Minor alteration to CRM and scripts for all CPs; BAU for the majority of CPs; small CPs don't document it; just onboard the new process - it also applies to Tier A since this has a direct impact on the interaction with the consumer and not in the TPI
</t>
    </r>
    <r>
      <rPr>
        <b/>
        <sz val="10"/>
        <color theme="0"/>
        <rFont val="Calibri"/>
        <family val="2"/>
        <scheme val="minor"/>
      </rPr>
      <t xml:space="preserve">- Process development &gt;&gt; </t>
    </r>
    <r>
      <rPr>
        <sz val="10"/>
        <color theme="0"/>
        <rFont val="Calibri"/>
        <family val="2"/>
        <scheme val="minor"/>
      </rPr>
      <t xml:space="preserve">Standard Process Effort = 6 weeks + 10% PM time; split ratios = [evenly across processes]
- </t>
    </r>
    <r>
      <rPr>
        <b/>
        <sz val="10"/>
        <color theme="0"/>
        <rFont val="Calibri"/>
        <family val="2"/>
        <scheme val="minor"/>
      </rPr>
      <t xml:space="preserve">Training </t>
    </r>
    <r>
      <rPr>
        <sz val="10"/>
        <color theme="0"/>
        <rFont val="Calibri"/>
        <family val="2"/>
        <scheme val="minor"/>
      </rPr>
      <t xml:space="preserve">split ratios = [evenly across processes]
</t>
    </r>
    <r>
      <rPr>
        <b/>
        <sz val="10"/>
        <color theme="0"/>
        <rFont val="Calibri"/>
        <family val="2"/>
        <scheme val="minor"/>
      </rPr>
      <t xml:space="preserve">- System development &gt;&gt; </t>
    </r>
    <r>
      <rPr>
        <sz val="10"/>
        <color theme="0"/>
        <rFont val="Calibri"/>
        <family val="2"/>
        <scheme val="minor"/>
      </rPr>
      <t>FE Standard System Effort = 12 weeks + 10% PM time; split ratios =  [evenly across processes] &gt;&gt;activities to adjust storage capacity and define record categorisation; storage for call recording provided by TPIs for Tier A; assumed that only VM needs new storage capacity</t>
    </r>
  </si>
  <si>
    <r>
      <t>Assumptions</t>
    </r>
    <r>
      <rPr>
        <sz val="10"/>
        <color theme="0"/>
        <rFont val="Calibri"/>
        <family val="2"/>
        <scheme val="minor"/>
      </rPr>
      <t xml:space="preserve">
Same effort across models with same FE
what's required: defining new order messages, interfaces, scripts                                         - Process development &gt;&gt; Complex Process Effort = 12 weeks + 10% PM time; split ratios = [10% - 35% -10% -35% - 5% - 5%]
- Training split ratios = [20% x 4 - 10% - 10%]
- System development &gt;&gt; FE Advanced System Effort t = 30 weeks + 10% PM time; split ratios =  [5% - 0% - 15% x 6 - 5%]
</t>
    </r>
    <r>
      <rPr>
        <b/>
        <sz val="9"/>
        <color theme="0"/>
        <rFont val="Calibri"/>
        <family val="2"/>
        <scheme val="minor"/>
      </rPr>
      <t/>
    </r>
  </si>
  <si>
    <r>
      <t>Assumptions</t>
    </r>
    <r>
      <rPr>
        <sz val="10"/>
        <color theme="0"/>
        <rFont val="Calibri"/>
        <family val="2"/>
        <scheme val="minor"/>
      </rPr>
      <t xml:space="preserve">
- Same effort across all models
- </t>
    </r>
    <r>
      <rPr>
        <b/>
        <sz val="10"/>
        <color theme="0"/>
        <rFont val="Calibri"/>
        <family val="2"/>
        <scheme val="minor"/>
      </rPr>
      <t>what's required:</t>
    </r>
    <r>
      <rPr>
        <sz val="10"/>
        <color theme="0"/>
        <rFont val="Calibri"/>
        <family val="2"/>
        <scheme val="minor"/>
      </rPr>
      <t xml:space="preserve"> define and configure the new comms
</t>
    </r>
    <r>
      <rPr>
        <b/>
        <sz val="10"/>
        <color theme="0"/>
        <rFont val="Calibri"/>
        <family val="2"/>
        <scheme val="minor"/>
      </rPr>
      <t xml:space="preserve">- Process development &gt;&gt; </t>
    </r>
    <r>
      <rPr>
        <sz val="10"/>
        <color theme="0"/>
        <rFont val="Calibri"/>
        <family val="2"/>
        <scheme val="minor"/>
      </rPr>
      <t>Standard Process Effort = 6 week + 10% PM time; split ratios = [25%-75%]</t>
    </r>
    <r>
      <rPr>
        <b/>
        <sz val="10"/>
        <color theme="0"/>
        <rFont val="Calibri"/>
        <family val="2"/>
        <scheme val="minor"/>
      </rPr>
      <t xml:space="preserve">
- System development &gt;&gt;</t>
    </r>
    <r>
      <rPr>
        <sz val="10"/>
        <color theme="0"/>
        <rFont val="Calibri"/>
        <family val="2"/>
        <scheme val="minor"/>
      </rPr>
      <t xml:space="preserve"> FE Standard System Effort = 12 weeks + 10% PM time; split ratios =  [25%-25%-50%]</t>
    </r>
  </si>
  <si>
    <r>
      <t xml:space="preserve">GP welcome letter required in eC&amp;R model: </t>
    </r>
    <r>
      <rPr>
        <sz val="10"/>
        <color theme="0"/>
        <rFont val="Calibri"/>
        <family val="2"/>
        <scheme val="minor"/>
      </rPr>
      <t>No effect on costs but reconfiguration required for message type - could be considered BAU</t>
    </r>
  </si>
  <si>
    <r>
      <rPr>
        <b/>
        <sz val="10"/>
        <color theme="0"/>
        <rFont val="Calibri"/>
        <family val="2"/>
        <scheme val="minor"/>
      </rPr>
      <t>Assumptions</t>
    </r>
    <r>
      <rPr>
        <sz val="10"/>
        <color theme="0"/>
        <rFont val="Calibri"/>
        <family val="2"/>
        <scheme val="minor"/>
      </rPr>
      <t xml:space="preserve">
From a process perspective, the development effort is the same for EMP and DCC; from a system perspective, there will be differences.
- Process development &gt;&gt; Complex Process Effort = 12 weeks + 10% PM time; split ratios = [10% - 40% - 40% - 10%]
- System development &gt;&gt; BE solution dependent</t>
    </r>
  </si>
  <si>
    <r>
      <rPr>
        <b/>
        <sz val="10"/>
        <color theme="0"/>
        <rFont val="Calibri"/>
        <family val="2"/>
        <scheme val="minor"/>
      </rPr>
      <t>Assumptions for DCC:</t>
    </r>
    <r>
      <rPr>
        <sz val="10"/>
        <color theme="0"/>
        <rFont val="Calibri"/>
        <family val="2"/>
        <scheme val="minor"/>
      </rPr>
      <t xml:space="preserve">
- System development &gt;&gt; BE DCC Standard |system Effort = 12 weeks + 10% PM time, split ratios = [50%-%50%] &amp; BE DCC Complex System Effort = 77 weeks +10% PM time; splut ratios = [25%x4] (assumed project would be 1 month longer than for EMP)
Assumed to be a challenging project built from scratch for all;
An industry interface standard is required to everybody to adhere
Similar to what OR has at the moment to onboard new CPs           All CPs building process from scratch (cloning OR message types) ; Entirely new hardware needed by all.  </t>
    </r>
  </si>
  <si>
    <r>
      <rPr>
        <b/>
        <sz val="10"/>
        <color theme="0"/>
        <rFont val="Calibri"/>
        <family val="2"/>
        <scheme val="minor"/>
      </rPr>
      <t>Assumptions for EMP:</t>
    </r>
    <r>
      <rPr>
        <sz val="10"/>
        <color theme="0"/>
        <rFont val="Calibri"/>
        <family val="2"/>
        <scheme val="minor"/>
      </rPr>
      <t xml:space="preserve">
- </t>
    </r>
    <r>
      <rPr>
        <b/>
        <sz val="10"/>
        <color theme="0"/>
        <rFont val="Calibri"/>
        <family val="2"/>
        <scheme val="minor"/>
      </rPr>
      <t xml:space="preserve">System development </t>
    </r>
    <r>
      <rPr>
        <sz val="10"/>
        <color theme="0"/>
        <rFont val="Calibri"/>
        <family val="2"/>
        <scheme val="minor"/>
      </rPr>
      <t xml:space="preserve">&gt;&gt; it's a mix of  BE EMP Standard System Effort for "customer facing" systems = 12 weeks + 10% PM time, split ratios = [50%-%50%] &amp; BE EMP Complex System Effort = 64 weeks +10% PM time; splut ratios = [25%x4]
- 50% more for VM since there is no interface to OR EMP
- OR to release a new EMP version with new or extended messages with additional fields
- CPs to install/config new EMP interface release and to do functional enhancements to OSS/BSS systems
&gt;&gt; BAU for CPs in Tier B and A since they don't provide 3P
</t>
    </r>
  </si>
  <si>
    <r>
      <rPr>
        <b/>
        <sz val="10"/>
        <color theme="0"/>
        <rFont val="Calibri"/>
        <family val="2"/>
        <scheme val="minor"/>
      </rPr>
      <t>Assumptions</t>
    </r>
    <r>
      <rPr>
        <sz val="10"/>
        <color theme="0"/>
        <rFont val="Calibri"/>
        <family val="2"/>
        <scheme val="minor"/>
      </rPr>
      <t xml:space="preserve">
From a process perspective, the development effort is the same for EMP and DCC; from a system perspective, there will be differences.
- Process development &gt;&gt; standard effort = 6 weeks + 10% PM time; split ratios = [50% even split]
- System development &gt;&gt; BE solution dependent </t>
    </r>
  </si>
  <si>
    <r>
      <rPr>
        <b/>
        <sz val="10"/>
        <color theme="0"/>
        <rFont val="Calibri"/>
        <family val="2"/>
        <scheme val="minor"/>
      </rPr>
      <t>Assumptions for EMP:</t>
    </r>
    <r>
      <rPr>
        <sz val="10"/>
        <color theme="0"/>
        <rFont val="Calibri"/>
        <family val="2"/>
        <scheme val="minor"/>
      </rPr>
      <t xml:space="preserve">
- System development &gt;&gt;  BE EMP Complex System Effort = 64 weeks +10% PM time; split ratio [even split]
- 50% more for VM since there is no interface to OR EMP
- OR to release a new EMP version with new or extended messages with additional fields
- CPs to install/config new EMP interface release and to do functional enhancements to OSS/BSS systems
&gt;&gt; BAU for CPs in Tier B and A since they don't provide 3P</t>
    </r>
  </si>
  <si>
    <r>
      <rPr>
        <b/>
        <sz val="10"/>
        <color theme="0"/>
        <rFont val="Calibri"/>
        <family val="2"/>
        <scheme val="minor"/>
      </rPr>
      <t>Assumptions for DCC:</t>
    </r>
    <r>
      <rPr>
        <sz val="10"/>
        <color theme="0"/>
        <rFont val="Calibri"/>
        <family val="2"/>
        <scheme val="minor"/>
      </rPr>
      <t xml:space="preserve">
- System development &gt;&gt; BE DCC Complex System Effort = 77 weeks +10% PM time; split ratios = [25%x4] (assumed project would be 1 month longer than for EMP)
Assumed to be a challenging project built from scratch for all;
An industry interface standard is required to everybody to adhere
Similar to what OR has at the moment to onboard new CPs           All CPs building process from scratch (cloning OR message types) ; Entirely new hardware needed by all.  </t>
    </r>
  </si>
  <si>
    <r>
      <t xml:space="preserve">System altered to align dates so that </t>
    </r>
    <r>
      <rPr>
        <i/>
        <sz val="10"/>
        <rFont val="Calibri"/>
        <family val="2"/>
        <scheme val="minor"/>
      </rPr>
      <t xml:space="preserve">'Services all switched on the same day' </t>
    </r>
    <r>
      <rPr>
        <sz val="10"/>
        <rFont val="Calibri"/>
        <family val="2"/>
        <scheme val="minor"/>
      </rPr>
      <t>and accept Switching Reference - new message type</t>
    </r>
  </si>
  <si>
    <r>
      <rPr>
        <b/>
        <sz val="10"/>
        <color theme="0"/>
        <rFont val="Calibri"/>
        <family val="2"/>
        <scheme val="minor"/>
      </rPr>
      <t>Assumptions</t>
    </r>
    <r>
      <rPr>
        <sz val="10"/>
        <color theme="0"/>
        <rFont val="Calibri"/>
        <family val="2"/>
        <scheme val="minor"/>
      </rPr>
      <t xml:space="preserve">
From a process perspective, the development effort is the same for EMP and DCC; from a system perspective, there will be differences.
- Process development &gt;&gt; standard effort = 6 weeks + 10% PM time; split ratios = [50% even split]
- System development &gt;&gt; BE solution dependent</t>
    </r>
  </si>
  <si>
    <r>
      <rPr>
        <b/>
        <sz val="10"/>
        <color theme="0"/>
        <rFont val="Calibri"/>
        <family val="2"/>
        <scheme val="minor"/>
      </rPr>
      <t>Assumptions for EMP:</t>
    </r>
    <r>
      <rPr>
        <sz val="10"/>
        <color theme="0"/>
        <rFont val="Calibri"/>
        <family val="2"/>
        <scheme val="minor"/>
      </rPr>
      <t xml:space="preserve">
- System development &gt;&gt;  BE EMP Standard System Effort = 12 weeks + 10% PM time, split ratios = [50%-50%] &amp; BE EMP Complex System Effort = 64 weeks +10% PM time; splut ratios = [25%x4]
- 50% more for VM since there is no interface to OR EMP
- OR to release a new EMP version with new or extended messages with additional fields
- CPs to install/config new EMP interface release and to do functional enhancements to OSS/BSS systems
&gt;&gt; BAU for CPs in Tier B and A since they don't provide 3P
Notes:
- OR and BTW are not involved in customer facing processes. However, BTW will</t>
    </r>
  </si>
  <si>
    <t>Inputs_Delivery_Effort</t>
  </si>
  <si>
    <r>
      <t xml:space="preserve">Flexing allows to adjust Independent Costs 'Major Changes' to reflect a +/- % aross all cost inputs
</t>
    </r>
    <r>
      <rPr>
        <b/>
        <i/>
        <sz val="10"/>
        <color rgb="FFFF0000"/>
        <rFont val="Calibri"/>
        <family val="2"/>
        <scheme val="minor"/>
      </rPr>
      <t>Note: make sure the 'Baseline' sensitivity level is selected for the CAPEX factor</t>
    </r>
  </si>
  <si>
    <t>Time</t>
  </si>
  <si>
    <t>hrs</t>
  </si>
  <si>
    <t>Hours per day shift</t>
  </si>
  <si>
    <t>Working days per year</t>
  </si>
  <si>
    <t>Mins per hour</t>
  </si>
  <si>
    <t>Assumptions on Working Period</t>
  </si>
  <si>
    <t>Input data provided by Ofcom; average working days per year</t>
  </si>
  <si>
    <t>Input data provided by Ofcom; average shift</t>
  </si>
  <si>
    <t>ECR-EMP</t>
  </si>
  <si>
    <t>ECR-DCC</t>
  </si>
  <si>
    <t xml:space="preserve">For the front-end, we used the same rationale of the 80:20 rule; for the Back-End, the synergies are higher for system development because the time for channel implementation is captured for each BE change (but only needs to be considered once) - i.e. (1 - (1/'#' of major changes)); however, to cover specific system development needs e.g. message types, we rounded it up from 67% to 70% as system development time  will not necessarily be identical  for each major change (unlike hardware)
</t>
  </si>
  <si>
    <t>A specific synergy factor for the hardware requirements is defined to reflect the true capex cost; the hardware synergies are 1 - (1/'#' of major changes where the same hardware is required).</t>
  </si>
  <si>
    <t>Source: data provided by Ofcom based on a formal information request from providers and quantitative BDRC research. Set out in Ofcom annex 8</t>
  </si>
  <si>
    <t>Source: data provided by Ofcom based on a formal information request from providers. Set out in Ofcom annex 8</t>
  </si>
  <si>
    <t>Source: data provided by Ofcom based on quantitative BDRC research. Set out in Ofcom annex 8</t>
  </si>
  <si>
    <t>Source: data provided by Ofcom. Set out in Ofcom annex 8</t>
  </si>
  <si>
    <t>Redacted for publication</t>
  </si>
  <si>
    <t>Data provided by Ofcom based on a formal information request from providers (redacted for publication); Cartesian estimate for the other CPs</t>
  </si>
  <si>
    <t>Version for consultation.</t>
  </si>
  <si>
    <t>This sheet contains the volumes of cross-platform switches by CP by package switched to</t>
  </si>
  <si>
    <t>Switching Volumes - This table contains the volume of cross-platform switches by CP by package switched to, including pay TV switches (rounded figures); Source: Ofcom</t>
  </si>
  <si>
    <t>Redacted for publication, this changes variable opex to 0 and will lead to some discreprancy between costs in this model and published figures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</si>
</sst>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0_-;\-* #,##0_-;_-* &quot;-&quot;_-;_-@_-"/>
    <numFmt numFmtId="43" formatCode="_-* #,##0.00_-;\-* #,##0.00_-;_-* &quot;-&quot;??_-;_-@_-"/>
    <numFmt numFmtId="164" formatCode="0.0"/>
    <numFmt numFmtId="165" formatCode="0.0%"/>
    <numFmt numFmtId="166" formatCode="_-* #,##0_-;\-* #,##0_-;_-* &quot;-&quot;??_-;_-@_-"/>
    <numFmt numFmtId="167" formatCode="_-* #,##0.0_-;\-* #,##0.0_-;_-* &quot;-&quot;??_-;_-@_-"/>
    <numFmt numFmtId="168" formatCode="0.000"/>
    <numFmt numFmtId="169" formatCode="_-* #,##0.0_-;\-* #,##0.0_-;_-* &quot;-&quot;?_-;_-@_-"/>
    <numFmt numFmtId="170" formatCode="#,##0;0;\-;@"/>
    <numFmt numFmtId="171" formatCode="#,##0.0000000000"/>
    <numFmt numFmtId="172" formatCode="_-* #,##0_-;\-* #,##0_-;_-* &quot;-&quot;?_-;_-@_-"/>
    <numFmt numFmtId="173" formatCode="General;0;\-;@"/>
    <numFmt numFmtId="174" formatCode="0;0;\-;@"/>
    <numFmt numFmtId="175" formatCode="0.0;0;\-;@"/>
  </numFmts>
  <fonts count="47" x14ac:knownFonts="1">
    <font>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name val="Calibri"/>
      <family val="2"/>
      <scheme val="minor"/>
    </font>
    <font>
      <b/>
      <sz val="11"/>
      <name val="Calibri"/>
      <family val="2"/>
      <scheme val="minor"/>
    </font>
    <font>
      <i/>
      <sz val="11"/>
      <name val="Calibri"/>
      <family val="2"/>
      <scheme val="minor"/>
    </font>
    <font>
      <b/>
      <i/>
      <sz val="11"/>
      <name val="Calibri"/>
      <family val="2"/>
      <scheme val="minor"/>
    </font>
    <font>
      <sz val="10"/>
      <name val="Calibri"/>
      <family val="2"/>
      <scheme val="minor"/>
    </font>
    <font>
      <sz val="10"/>
      <color theme="1"/>
      <name val="Calibri"/>
      <family val="2"/>
      <scheme val="minor"/>
    </font>
    <font>
      <i/>
      <sz val="10"/>
      <name val="Calibri"/>
      <family val="2"/>
      <scheme val="minor"/>
    </font>
    <font>
      <b/>
      <sz val="10"/>
      <name val="Calibri"/>
      <family val="2"/>
      <scheme val="minor"/>
    </font>
    <font>
      <b/>
      <i/>
      <sz val="10"/>
      <name val="Calibri"/>
      <family val="2"/>
      <scheme val="minor"/>
    </font>
    <font>
      <sz val="10"/>
      <name val="Calibri"/>
      <family val="2"/>
    </font>
    <font>
      <sz val="10"/>
      <color indexed="8"/>
      <name val="Calibri"/>
      <family val="2"/>
      <scheme val="minor"/>
    </font>
    <font>
      <sz val="10"/>
      <color theme="0" tint="-0.249977111117893"/>
      <name val="Calibri"/>
      <family val="2"/>
      <scheme val="minor"/>
    </font>
    <font>
      <b/>
      <sz val="10"/>
      <color theme="1"/>
      <name val="Calibri"/>
      <family val="2"/>
      <scheme val="minor"/>
    </font>
    <font>
      <b/>
      <i/>
      <sz val="10"/>
      <color theme="1"/>
      <name val="Calibri"/>
      <family val="2"/>
      <scheme val="minor"/>
    </font>
    <font>
      <sz val="10"/>
      <color rgb="FFFF0000"/>
      <name val="Calibri"/>
      <family val="2"/>
      <scheme val="minor"/>
    </font>
    <font>
      <i/>
      <sz val="10"/>
      <color theme="1"/>
      <name val="Calibri"/>
      <family val="2"/>
      <scheme val="minor"/>
    </font>
    <font>
      <b/>
      <sz val="10"/>
      <color theme="3"/>
      <name val="Calibri"/>
      <family val="2"/>
      <scheme val="minor"/>
    </font>
    <font>
      <sz val="10"/>
      <color rgb="FF9C6500"/>
      <name val="Calibri"/>
      <family val="2"/>
      <scheme val="minor"/>
    </font>
    <font>
      <i/>
      <sz val="10"/>
      <color rgb="FFFF0000"/>
      <name val="Calibri"/>
      <family val="2"/>
      <scheme val="minor"/>
    </font>
    <font>
      <b/>
      <sz val="10"/>
      <color rgb="FFFF0000"/>
      <name val="Calibri"/>
      <family val="2"/>
      <scheme val="minor"/>
    </font>
    <font>
      <b/>
      <i/>
      <sz val="10"/>
      <color rgb="FFFF0000"/>
      <name val="Calibri"/>
      <family val="2"/>
      <scheme val="minor"/>
    </font>
    <font>
      <b/>
      <u/>
      <sz val="10"/>
      <name val="Calibri"/>
      <family val="2"/>
      <scheme val="minor"/>
    </font>
    <font>
      <sz val="9"/>
      <color theme="1"/>
      <name val="Calibri"/>
      <family val="2"/>
      <scheme val="minor"/>
    </font>
    <font>
      <sz val="9"/>
      <name val="Calibri"/>
      <family val="2"/>
      <scheme val="minor"/>
    </font>
    <font>
      <sz val="8"/>
      <color rgb="FFFF0000"/>
      <name val="Calibri"/>
      <family val="2"/>
      <scheme val="minor"/>
    </font>
    <font>
      <i/>
      <sz val="9"/>
      <color theme="0" tint="-0.499984740745262"/>
      <name val="Calibri"/>
      <family val="2"/>
      <scheme val="minor"/>
    </font>
    <font>
      <b/>
      <sz val="9"/>
      <color theme="1"/>
      <name val="Calibri"/>
      <family val="2"/>
      <scheme val="minor"/>
    </font>
    <font>
      <b/>
      <sz val="9"/>
      <color theme="0"/>
      <name val="Calibri"/>
      <family val="2"/>
      <scheme val="minor"/>
    </font>
    <font>
      <i/>
      <sz val="8"/>
      <color theme="0" tint="-0.499984740745262"/>
      <name val="Calibri"/>
      <family val="2"/>
      <scheme val="minor"/>
    </font>
    <font>
      <sz val="9"/>
      <name val="Arial"/>
      <family val="2"/>
    </font>
    <font>
      <sz val="10"/>
      <color theme="0"/>
      <name val="Calibri"/>
      <family val="2"/>
      <scheme val="minor"/>
    </font>
    <font>
      <sz val="10"/>
      <color theme="0" tint="-0.34998626667073579"/>
      <name val="Calibri"/>
      <family val="2"/>
      <scheme val="minor"/>
    </font>
    <font>
      <i/>
      <sz val="10"/>
      <color indexed="8"/>
      <name val="Calibri"/>
      <family val="2"/>
      <scheme val="minor"/>
    </font>
    <font>
      <strike/>
      <sz val="10"/>
      <color theme="1"/>
      <name val="Calibri"/>
      <family val="2"/>
      <scheme val="minor"/>
    </font>
    <font>
      <i/>
      <sz val="10"/>
      <color theme="0" tint="-0.499984740745262"/>
      <name val="Calibri"/>
      <family val="2"/>
      <scheme val="minor"/>
    </font>
    <font>
      <i/>
      <sz val="10"/>
      <color rgb="FF7F7F7F"/>
      <name val="Calibri"/>
      <family val="2"/>
      <scheme val="minor"/>
    </font>
    <font>
      <sz val="10"/>
      <color indexed="22"/>
      <name val="Calibri"/>
      <family val="2"/>
      <scheme val="minor"/>
    </font>
    <font>
      <b/>
      <sz val="8"/>
      <color rgb="FFFF0000"/>
      <name val="Calibri"/>
      <family val="2"/>
      <scheme val="minor"/>
    </font>
    <font>
      <b/>
      <i/>
      <sz val="10"/>
      <color theme="0" tint="-0.499984740745262"/>
      <name val="Calibri"/>
      <family val="2"/>
      <scheme val="minor"/>
    </font>
    <font>
      <b/>
      <sz val="10"/>
      <color theme="0" tint="-0.249977111117893"/>
      <name val="Calibri"/>
      <family val="2"/>
      <scheme val="minor"/>
    </font>
    <font>
      <b/>
      <sz val="10"/>
      <color theme="0"/>
      <name val="Calibri"/>
      <family val="2"/>
      <scheme val="minor"/>
    </font>
    <font>
      <i/>
      <sz val="11"/>
      <color theme="1"/>
      <name val="Calibri"/>
      <family val="2"/>
      <scheme val="minor"/>
    </font>
  </fonts>
  <fills count="20">
    <fill>
      <patternFill patternType="none"/>
    </fill>
    <fill>
      <patternFill patternType="gray125"/>
    </fill>
    <fill>
      <patternFill patternType="solid">
        <fgColor theme="9" tint="0.79998168889431442"/>
        <bgColor indexed="65"/>
      </patternFill>
    </fill>
    <fill>
      <patternFill patternType="solid">
        <fgColor indexed="44"/>
        <bgColor indexed="64"/>
      </patternFill>
    </fill>
    <fill>
      <patternFill patternType="solid">
        <fgColor theme="0"/>
        <bgColor indexed="64"/>
      </patternFill>
    </fill>
    <fill>
      <patternFill patternType="solid">
        <fgColor rgb="FFFFFF00"/>
        <bgColor indexed="64"/>
      </patternFill>
    </fill>
    <fill>
      <patternFill patternType="solid">
        <fgColor theme="9" tint="0.39994506668294322"/>
        <bgColor indexed="64"/>
      </patternFill>
    </fill>
    <fill>
      <patternFill patternType="solid">
        <fgColor theme="8" tint="0.3999450666829432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rgb="FF0070C0"/>
        <bgColor indexed="64"/>
      </patternFill>
    </fill>
    <fill>
      <patternFill patternType="solid">
        <fgColor rgb="FF00B050"/>
        <bgColor indexed="64"/>
      </patternFill>
    </fill>
    <fill>
      <patternFill patternType="solid">
        <fgColor theme="6" tint="0.39997558519241921"/>
        <bgColor indexed="64"/>
      </patternFill>
    </fill>
    <fill>
      <patternFill patternType="solid">
        <fgColor theme="9"/>
        <bgColor indexed="64"/>
      </patternFill>
    </fill>
    <fill>
      <patternFill patternType="lightUp"/>
    </fill>
    <fill>
      <patternFill patternType="solid">
        <fgColor indexed="13"/>
        <bgColor indexed="64"/>
      </patternFill>
    </fill>
    <fill>
      <patternFill patternType="solid">
        <fgColor theme="5" tint="-0.249977111117893"/>
        <bgColor indexed="64"/>
      </patternFill>
    </fill>
    <fill>
      <patternFill patternType="solid">
        <fgColor rgb="FF7030A0"/>
        <bgColor indexed="64"/>
      </patternFill>
    </fill>
  </fills>
  <borders count="70">
    <border>
      <left/>
      <right/>
      <top/>
      <bottom/>
      <diagonal/>
    </border>
    <border>
      <left style="medium">
        <color auto="1"/>
      </left>
      <right style="medium">
        <color auto="1"/>
      </right>
      <top style="medium">
        <color auto="1"/>
      </top>
      <bottom style="medium">
        <color auto="1"/>
      </bottom>
      <diagonal/>
    </border>
    <border>
      <left style="dotted">
        <color auto="1"/>
      </left>
      <right style="dotted">
        <color auto="1"/>
      </right>
      <top style="dotted">
        <color auto="1"/>
      </top>
      <bottom style="dotted">
        <color auto="1"/>
      </bottom>
      <diagonal/>
    </border>
    <border>
      <left style="dotted">
        <color rgb="FFC00000"/>
      </left>
      <right style="dotted">
        <color rgb="FFC00000"/>
      </right>
      <top style="dotted">
        <color rgb="FFC00000"/>
      </top>
      <bottom style="dotted">
        <color rgb="FFC00000"/>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dotted">
        <color auto="1"/>
      </left>
      <right style="medium">
        <color indexed="64"/>
      </right>
      <top style="dotted">
        <color auto="1"/>
      </top>
      <bottom style="dotted">
        <color auto="1"/>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dotted">
        <color auto="1"/>
      </right>
      <top style="medium">
        <color indexed="64"/>
      </top>
      <bottom style="dotted">
        <color auto="1"/>
      </bottom>
      <diagonal/>
    </border>
    <border>
      <left style="dotted">
        <color auto="1"/>
      </left>
      <right style="medium">
        <color indexed="64"/>
      </right>
      <top style="medium">
        <color indexed="64"/>
      </top>
      <bottom style="dotted">
        <color auto="1"/>
      </bottom>
      <diagonal/>
    </border>
    <border>
      <left style="medium">
        <color indexed="64"/>
      </left>
      <right style="dotted">
        <color auto="1"/>
      </right>
      <top style="dotted">
        <color auto="1"/>
      </top>
      <bottom/>
      <diagonal/>
    </border>
    <border>
      <left style="medium">
        <color indexed="64"/>
      </left>
      <right style="dotted">
        <color auto="1"/>
      </right>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diagonal/>
    </border>
    <border>
      <left style="dashed">
        <color indexed="64"/>
      </left>
      <right style="dashed">
        <color indexed="64"/>
      </right>
      <top style="dashed">
        <color indexed="64"/>
      </top>
      <bottom/>
      <diagonal/>
    </border>
    <border>
      <left style="dashed">
        <color indexed="64"/>
      </left>
      <right style="dashed">
        <color indexed="64"/>
      </right>
      <top/>
      <bottom style="medium">
        <color indexed="64"/>
      </bottom>
      <diagonal/>
    </border>
    <border>
      <left/>
      <right/>
      <top style="thin">
        <color indexed="64"/>
      </top>
      <bottom/>
      <diagonal/>
    </border>
    <border>
      <left style="thin">
        <color indexed="64"/>
      </left>
      <right style="medium">
        <color indexed="64"/>
      </right>
      <top style="medium">
        <color indexed="64"/>
      </top>
      <bottom/>
      <diagonal/>
    </border>
    <border>
      <left style="dashed">
        <color indexed="64"/>
      </left>
      <right/>
      <top/>
      <bottom style="dashed">
        <color indexed="64"/>
      </bottom>
      <diagonal/>
    </border>
    <border>
      <left style="dashed">
        <color indexed="64"/>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medium">
        <color indexed="64"/>
      </bottom>
      <diagonal/>
    </border>
    <border>
      <left style="medium">
        <color indexed="64"/>
      </left>
      <right/>
      <top/>
      <bottom style="thin">
        <color indexed="64"/>
      </bottom>
      <diagonal/>
    </border>
    <border>
      <left style="dashed">
        <color indexed="64"/>
      </left>
      <right style="dashed">
        <color indexed="64"/>
      </right>
      <top/>
      <bottom style="dashed">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auto="1"/>
      </left>
      <right style="medium">
        <color indexed="64"/>
      </right>
      <top style="dotted">
        <color auto="1"/>
      </top>
      <bottom style="medium">
        <color indexed="64"/>
      </bottom>
      <diagonal/>
    </border>
    <border>
      <left style="thin">
        <color indexed="64"/>
      </left>
      <right/>
      <top/>
      <bottom style="medium">
        <color indexed="64"/>
      </bottom>
      <diagonal/>
    </border>
  </borders>
  <cellStyleXfs count="22">
    <xf numFmtId="0" fontId="0" fillId="0" borderId="0"/>
    <xf numFmtId="0" fontId="2" fillId="0" borderId="0" applyNumberFormat="0" applyFill="0" applyBorder="0" applyAlignment="0" applyProtection="0"/>
    <xf numFmtId="43" fontId="1" fillId="0" borderId="0" applyFont="0" applyFill="0" applyBorder="0" applyAlignment="0" applyProtection="0"/>
    <xf numFmtId="0" fontId="9" fillId="5" borderId="2"/>
    <xf numFmtId="0" fontId="10" fillId="5" borderId="3"/>
    <xf numFmtId="0" fontId="9" fillId="4" borderId="2"/>
    <xf numFmtId="0" fontId="10" fillId="6" borderId="0"/>
    <xf numFmtId="0" fontId="9" fillId="7" borderId="0"/>
    <xf numFmtId="9" fontId="14" fillId="0" borderId="0" applyFill="0" applyBorder="0" applyAlignment="0" applyProtection="0"/>
    <xf numFmtId="43" fontId="9" fillId="0" borderId="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applyBorder="0"/>
    <xf numFmtId="43" fontId="1" fillId="0" borderId="0" applyFont="0" applyFill="0" applyBorder="0" applyAlignment="0" applyProtection="0"/>
    <xf numFmtId="0" fontId="1" fillId="0" borderId="0"/>
    <xf numFmtId="0" fontId="34" fillId="17" borderId="0" applyNumberFormat="0" applyFont="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xf numFmtId="43" fontId="9" fillId="0" borderId="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cellStyleXfs>
  <cellXfs count="791">
    <xf numFmtId="0" fontId="0" fillId="0" borderId="0" xfId="0"/>
    <xf numFmtId="0" fontId="5" fillId="0" borderId="0" xfId="0" applyFont="1"/>
    <xf numFmtId="0" fontId="6" fillId="0" borderId="0" xfId="0" applyFont="1"/>
    <xf numFmtId="0" fontId="7" fillId="0" borderId="0" xfId="0" applyFont="1"/>
    <xf numFmtId="0" fontId="6" fillId="3" borderId="0" xfId="0" applyFont="1" applyFill="1"/>
    <xf numFmtId="0" fontId="8" fillId="3" borderId="0" xfId="0" applyFont="1" applyFill="1"/>
    <xf numFmtId="0" fontId="3" fillId="2" borderId="0" xfId="1" applyFont="1" applyFill="1"/>
    <xf numFmtId="0" fontId="9" fillId="4" borderId="2" xfId="5" quotePrefix="1"/>
    <xf numFmtId="0" fontId="5" fillId="3" borderId="0" xfId="0" applyFont="1" applyFill="1"/>
    <xf numFmtId="0" fontId="7" fillId="3" borderId="0" xfId="0" applyFont="1" applyFill="1"/>
    <xf numFmtId="0" fontId="9" fillId="0" borderId="0" xfId="0" applyFont="1"/>
    <xf numFmtId="0" fontId="11" fillId="0" borderId="0" xfId="0" applyFont="1"/>
    <xf numFmtId="0" fontId="12" fillId="0" borderId="0" xfId="0" applyFont="1"/>
    <xf numFmtId="165" fontId="9" fillId="0" borderId="0" xfId="8" applyNumberFormat="1" applyFont="1"/>
    <xf numFmtId="165" fontId="11" fillId="0" borderId="0" xfId="8" applyNumberFormat="1" applyFont="1"/>
    <xf numFmtId="0" fontId="9" fillId="0" borderId="0" xfId="0" applyFont="1" applyFill="1"/>
    <xf numFmtId="0" fontId="12" fillId="0" borderId="0" xfId="0" applyFont="1" applyFill="1"/>
    <xf numFmtId="0" fontId="16" fillId="0" borderId="0" xfId="0" applyFont="1"/>
    <xf numFmtId="0" fontId="10" fillId="0" borderId="0" xfId="0" applyFont="1"/>
    <xf numFmtId="0" fontId="17" fillId="3" borderId="0" xfId="0" applyFont="1" applyFill="1"/>
    <xf numFmtId="0" fontId="13" fillId="0" borderId="0" xfId="0" applyFont="1" applyFill="1"/>
    <xf numFmtId="0" fontId="10" fillId="0" borderId="0" xfId="0" applyFont="1" applyFill="1"/>
    <xf numFmtId="0" fontId="17" fillId="0" borderId="0" xfId="0" applyFont="1"/>
    <xf numFmtId="0" fontId="10" fillId="0" borderId="4" xfId="0" applyFont="1" applyBorder="1"/>
    <xf numFmtId="0" fontId="17" fillId="0" borderId="0" xfId="0" applyFont="1" applyFill="1"/>
    <xf numFmtId="0" fontId="19" fillId="0" borderId="0" xfId="0" applyFont="1"/>
    <xf numFmtId="0" fontId="18" fillId="3" borderId="0" xfId="0" applyFont="1" applyFill="1"/>
    <xf numFmtId="164" fontId="15" fillId="4" borderId="0" xfId="0" applyNumberFormat="1" applyFont="1" applyFill="1"/>
    <xf numFmtId="0" fontId="11" fillId="0" borderId="0" xfId="0" applyFont="1" applyFill="1"/>
    <xf numFmtId="166" fontId="9" fillId="5" borderId="2" xfId="2" applyNumberFormat="1" applyFont="1" applyFill="1" applyBorder="1"/>
    <xf numFmtId="9" fontId="9" fillId="5" borderId="2" xfId="10" applyFont="1" applyFill="1" applyBorder="1"/>
    <xf numFmtId="0" fontId="10" fillId="0" borderId="0" xfId="0" applyFont="1" applyFill="1" applyBorder="1"/>
    <xf numFmtId="9" fontId="10" fillId="0" borderId="0" xfId="10" applyFont="1"/>
    <xf numFmtId="0" fontId="20" fillId="0" borderId="0" xfId="0" applyFont="1" applyAlignment="1">
      <alignment wrapText="1"/>
    </xf>
    <xf numFmtId="0" fontId="17" fillId="10" borderId="0" xfId="0" applyFont="1" applyFill="1"/>
    <xf numFmtId="164" fontId="21" fillId="0" borderId="0" xfId="11" applyNumberFormat="1" applyFont="1"/>
    <xf numFmtId="164" fontId="22" fillId="0" borderId="0" xfId="11" applyNumberFormat="1" applyFont="1"/>
    <xf numFmtId="9" fontId="10" fillId="0" borderId="0" xfId="0" applyNumberFormat="1" applyFont="1"/>
    <xf numFmtId="0" fontId="12" fillId="10" borderId="0" xfId="0" applyFont="1" applyFill="1"/>
    <xf numFmtId="0" fontId="10" fillId="0" borderId="0" xfId="0" applyFont="1" applyBorder="1"/>
    <xf numFmtId="0" fontId="23" fillId="0" borderId="0" xfId="0" applyFont="1"/>
    <xf numFmtId="0" fontId="17" fillId="0" borderId="0" xfId="0" applyFont="1" applyFill="1" applyBorder="1"/>
    <xf numFmtId="0" fontId="0" fillId="0" borderId="0" xfId="0" applyFill="1"/>
    <xf numFmtId="3" fontId="17" fillId="0" borderId="0" xfId="0" applyNumberFormat="1" applyFont="1" applyFill="1"/>
    <xf numFmtId="0" fontId="9" fillId="0" borderId="0" xfId="0" applyFont="1" applyAlignment="1">
      <alignment vertical="center" wrapText="1"/>
    </xf>
    <xf numFmtId="43" fontId="9" fillId="0" borderId="0" xfId="2" applyNumberFormat="1" applyFont="1" applyFill="1" applyBorder="1"/>
    <xf numFmtId="9" fontId="10" fillId="0" borderId="0" xfId="10" applyFont="1" applyFill="1" applyBorder="1"/>
    <xf numFmtId="0" fontId="17" fillId="3" borderId="0" xfId="0" applyFont="1" applyFill="1" applyBorder="1"/>
    <xf numFmtId="0" fontId="12" fillId="0" borderId="0" xfId="0" applyFont="1" applyAlignment="1">
      <alignment horizontal="center" vertical="center"/>
    </xf>
    <xf numFmtId="0" fontId="24" fillId="0" borderId="0" xfId="0" applyFont="1" applyFill="1"/>
    <xf numFmtId="43" fontId="19" fillId="0" borderId="0" xfId="0" applyNumberFormat="1" applyFont="1"/>
    <xf numFmtId="0" fontId="9" fillId="0" borderId="0" xfId="12" applyFont="1"/>
    <xf numFmtId="0" fontId="12" fillId="0" borderId="0" xfId="12" applyFont="1"/>
    <xf numFmtId="0" fontId="12" fillId="3" borderId="0" xfId="12" applyFont="1" applyFill="1"/>
    <xf numFmtId="0" fontId="13" fillId="3" borderId="0" xfId="12" applyFont="1" applyFill="1"/>
    <xf numFmtId="0" fontId="11" fillId="0" borderId="0" xfId="12" applyFont="1"/>
    <xf numFmtId="164" fontId="9" fillId="4" borderId="0" xfId="12" applyNumberFormat="1" applyFont="1" applyFill="1" applyBorder="1" applyAlignment="1" applyProtection="1"/>
    <xf numFmtId="0" fontId="9" fillId="4" borderId="0" xfId="12" applyFont="1" applyFill="1"/>
    <xf numFmtId="10" fontId="9" fillId="4" borderId="0" xfId="8" applyNumberFormat="1" applyFont="1" applyFill="1" applyBorder="1" applyAlignment="1" applyProtection="1"/>
    <xf numFmtId="164" fontId="15" fillId="4" borderId="0" xfId="12" applyNumberFormat="1" applyFont="1" applyFill="1"/>
    <xf numFmtId="0" fontId="11" fillId="0" borderId="0" xfId="12" applyFont="1" applyFill="1"/>
    <xf numFmtId="9" fontId="15" fillId="4" borderId="0" xfId="12" applyNumberFormat="1" applyFont="1" applyFill="1" applyBorder="1" applyAlignment="1" applyProtection="1"/>
    <xf numFmtId="0" fontId="9" fillId="0" borderId="0" xfId="12" applyFont="1" applyFill="1"/>
    <xf numFmtId="9" fontId="15" fillId="0" borderId="0" xfId="8" applyFont="1" applyFill="1" applyBorder="1"/>
    <xf numFmtId="1" fontId="15" fillId="4" borderId="0" xfId="12" applyNumberFormat="1" applyFont="1" applyFill="1" applyBorder="1" applyAlignment="1" applyProtection="1"/>
    <xf numFmtId="164" fontId="15" fillId="4" borderId="0" xfId="12" applyNumberFormat="1" applyFont="1" applyFill="1" applyBorder="1" applyAlignment="1" applyProtection="1"/>
    <xf numFmtId="2" fontId="15" fillId="4" borderId="0" xfId="12" applyNumberFormat="1" applyFont="1" applyFill="1" applyBorder="1" applyAlignment="1" applyProtection="1"/>
    <xf numFmtId="166" fontId="10" fillId="0" borderId="0" xfId="9" applyNumberFormat="1" applyFont="1"/>
    <xf numFmtId="166" fontId="9" fillId="0" borderId="0" xfId="9" applyNumberFormat="1" applyFont="1"/>
    <xf numFmtId="9" fontId="9" fillId="0" borderId="0" xfId="8" applyFont="1"/>
    <xf numFmtId="0" fontId="9" fillId="4" borderId="0" xfId="0" applyFont="1" applyFill="1"/>
    <xf numFmtId="0" fontId="17" fillId="0" borderId="0" xfId="0" applyFont="1" applyBorder="1"/>
    <xf numFmtId="0" fontId="12" fillId="0" borderId="0" xfId="0" applyFont="1" applyBorder="1"/>
    <xf numFmtId="0" fontId="16" fillId="0" borderId="0" xfId="0" applyFont="1" applyBorder="1"/>
    <xf numFmtId="0" fontId="10" fillId="0" borderId="0" xfId="0" applyFont="1" applyAlignment="1">
      <alignment wrapText="1"/>
    </xf>
    <xf numFmtId="0" fontId="20" fillId="0" borderId="15" xfId="0" applyFont="1" applyBorder="1" applyAlignment="1">
      <alignment wrapText="1"/>
    </xf>
    <xf numFmtId="0" fontId="10" fillId="0" borderId="0" xfId="0" applyFont="1" applyFill="1" applyAlignment="1">
      <alignment horizontal="left" indent="2"/>
    </xf>
    <xf numFmtId="0" fontId="12" fillId="11" borderId="0" xfId="0" applyFont="1" applyFill="1"/>
    <xf numFmtId="0" fontId="13" fillId="11" borderId="0" xfId="0" applyFont="1" applyFill="1"/>
    <xf numFmtId="0" fontId="12" fillId="10" borderId="0" xfId="0" applyFont="1" applyFill="1" applyBorder="1"/>
    <xf numFmtId="0" fontId="24" fillId="3" borderId="0" xfId="0" applyFont="1" applyFill="1"/>
    <xf numFmtId="0" fontId="24" fillId="0" borderId="0" xfId="0" applyFont="1"/>
    <xf numFmtId="0" fontId="23" fillId="0" borderId="0" xfId="0" applyFont="1" applyBorder="1"/>
    <xf numFmtId="0" fontId="20" fillId="0" borderId="0" xfId="0" applyFont="1" applyBorder="1" applyAlignment="1">
      <alignment wrapText="1"/>
    </xf>
    <xf numFmtId="168" fontId="9" fillId="0" borderId="0" xfId="0" applyNumberFormat="1" applyFont="1"/>
    <xf numFmtId="0" fontId="12" fillId="0" borderId="0" xfId="12" applyFont="1" applyFill="1"/>
    <xf numFmtId="0" fontId="13" fillId="0" borderId="0" xfId="12" applyFont="1" applyFill="1"/>
    <xf numFmtId="0" fontId="10" fillId="0" borderId="15" xfId="0" applyFont="1" applyBorder="1"/>
    <xf numFmtId="0" fontId="25" fillId="0" borderId="0" xfId="0" applyFont="1" applyFill="1"/>
    <xf numFmtId="0" fontId="26" fillId="0" borderId="0" xfId="0" applyFont="1" applyFill="1"/>
    <xf numFmtId="0" fontId="9" fillId="0" borderId="15" xfId="12" applyFont="1" applyBorder="1"/>
    <xf numFmtId="0" fontId="9" fillId="0" borderId="0" xfId="12" applyFont="1" applyBorder="1"/>
    <xf numFmtId="0" fontId="10" fillId="0" borderId="0" xfId="0" applyFont="1" applyFill="1" applyAlignment="1">
      <alignment horizontal="left" vertical="top"/>
    </xf>
    <xf numFmtId="0" fontId="10" fillId="0" borderId="0" xfId="0" applyFont="1" applyFill="1" applyAlignment="1">
      <alignment vertical="top"/>
    </xf>
    <xf numFmtId="43" fontId="9" fillId="0" borderId="0" xfId="2" applyNumberFormat="1" applyFont="1" applyFill="1" applyBorder="1" applyAlignment="1">
      <alignment vertical="top"/>
    </xf>
    <xf numFmtId="0" fontId="20" fillId="0" borderId="0" xfId="0" applyFont="1" applyFill="1" applyBorder="1" applyAlignment="1">
      <alignment wrapText="1"/>
    </xf>
    <xf numFmtId="166" fontId="9" fillId="5" borderId="2" xfId="2" applyNumberFormat="1" applyFont="1" applyFill="1" applyBorder="1" applyAlignment="1">
      <alignment vertical="top"/>
    </xf>
    <xf numFmtId="0" fontId="9" fillId="0" borderId="0" xfId="0" applyFont="1" applyFill="1" applyAlignment="1">
      <alignment vertical="top"/>
    </xf>
    <xf numFmtId="0" fontId="9" fillId="0" borderId="0" xfId="12" applyFont="1" applyFill="1" applyBorder="1"/>
    <xf numFmtId="0" fontId="9" fillId="0" borderId="15" xfId="12" applyFont="1" applyFill="1" applyBorder="1"/>
    <xf numFmtId="0" fontId="9" fillId="0" borderId="15" xfId="0" applyFont="1" applyFill="1" applyBorder="1" applyAlignment="1"/>
    <xf numFmtId="0" fontId="9" fillId="0" borderId="16" xfId="12" applyFont="1" applyBorder="1"/>
    <xf numFmtId="0" fontId="12" fillId="0" borderId="16" xfId="12" applyFont="1" applyBorder="1"/>
    <xf numFmtId="0" fontId="10" fillId="0" borderId="15" xfId="0" applyFont="1" applyBorder="1" applyAlignment="1">
      <alignment wrapText="1"/>
    </xf>
    <xf numFmtId="0" fontId="9" fillId="0" borderId="15" xfId="0" applyFont="1" applyBorder="1" applyAlignment="1">
      <alignment wrapText="1"/>
    </xf>
    <xf numFmtId="3" fontId="10" fillId="0" borderId="0" xfId="4" applyNumberFormat="1" applyFont="1" applyFill="1" applyBorder="1" applyAlignment="1">
      <alignment vertical="top"/>
    </xf>
    <xf numFmtId="0" fontId="9" fillId="0" borderId="0" xfId="0" applyFont="1" applyAlignment="1">
      <alignment vertical="top"/>
    </xf>
    <xf numFmtId="0" fontId="20" fillId="0" borderId="15" xfId="0" applyFont="1" applyBorder="1" applyAlignment="1">
      <alignment vertical="top" wrapText="1"/>
    </xf>
    <xf numFmtId="0" fontId="29" fillId="0" borderId="0" xfId="0" applyFont="1"/>
    <xf numFmtId="0" fontId="30" fillId="0" borderId="0" xfId="0" applyFont="1"/>
    <xf numFmtId="0" fontId="12" fillId="3" borderId="0" xfId="12" applyFont="1" applyFill="1" applyAlignment="1">
      <alignment horizontal="center"/>
    </xf>
    <xf numFmtId="0" fontId="18" fillId="0" borderId="0" xfId="0" applyFont="1" applyBorder="1" applyAlignment="1">
      <alignment horizontal="center" vertical="center" wrapText="1"/>
    </xf>
    <xf numFmtId="2" fontId="10" fillId="0" borderId="0" xfId="0" applyNumberFormat="1" applyFont="1"/>
    <xf numFmtId="0" fontId="12" fillId="3" borderId="0" xfId="12" applyFont="1" applyFill="1" applyBorder="1" applyAlignment="1">
      <alignment horizontal="center"/>
    </xf>
    <xf numFmtId="10" fontId="10" fillId="0" borderId="0" xfId="10" applyNumberFormat="1" applyFont="1" applyBorder="1"/>
    <xf numFmtId="0" fontId="28" fillId="0" borderId="0" xfId="0" applyFont="1" applyAlignment="1">
      <alignment horizontal="left" indent="2"/>
    </xf>
    <xf numFmtId="0" fontId="0" fillId="0" borderId="0" xfId="0" applyAlignment="1">
      <alignment vertical="top"/>
    </xf>
    <xf numFmtId="0" fontId="9" fillId="0" borderId="0" xfId="0" applyFont="1" applyAlignment="1"/>
    <xf numFmtId="0" fontId="9" fillId="0" borderId="0" xfId="0" applyFont="1" applyAlignment="1">
      <alignment vertical="center"/>
    </xf>
    <xf numFmtId="0" fontId="12" fillId="0" borderId="0" xfId="0" applyFont="1" applyAlignment="1">
      <alignment vertical="center" wrapText="1"/>
    </xf>
    <xf numFmtId="0" fontId="12" fillId="3" borderId="0" xfId="0" applyFont="1" applyFill="1" applyAlignment="1"/>
    <xf numFmtId="0" fontId="12" fillId="3" borderId="0" xfId="0" applyFont="1" applyFill="1" applyAlignment="1">
      <alignment vertical="center" wrapText="1"/>
    </xf>
    <xf numFmtId="0" fontId="12" fillId="3" borderId="0" xfId="0" applyFont="1" applyFill="1" applyAlignment="1">
      <alignment vertical="center"/>
    </xf>
    <xf numFmtId="0" fontId="12" fillId="0" borderId="0" xfId="0" applyFont="1" applyAlignment="1"/>
    <xf numFmtId="0" fontId="9" fillId="0" borderId="0" xfId="0" applyFont="1" applyFill="1" applyAlignment="1">
      <alignment vertical="center" wrapText="1"/>
    </xf>
    <xf numFmtId="0" fontId="9" fillId="8" borderId="0" xfId="0" applyFont="1" applyFill="1" applyAlignment="1">
      <alignment vertical="center" wrapText="1"/>
    </xf>
    <xf numFmtId="0" fontId="9" fillId="8" borderId="0" xfId="0" applyFont="1" applyFill="1" applyAlignment="1">
      <alignment vertical="center"/>
    </xf>
    <xf numFmtId="0" fontId="9" fillId="0" borderId="0" xfId="0" applyFont="1" applyFill="1" applyAlignment="1"/>
    <xf numFmtId="0" fontId="9" fillId="0" borderId="0" xfId="0" applyFont="1" applyFill="1" applyAlignment="1">
      <alignment vertical="center"/>
    </xf>
    <xf numFmtId="9" fontId="23" fillId="0" borderId="0" xfId="5" applyNumberFormat="1" applyFont="1" applyFill="1" applyBorder="1" applyAlignment="1"/>
    <xf numFmtId="3" fontId="9" fillId="0" borderId="0" xfId="0" applyNumberFormat="1" applyFont="1" applyBorder="1" applyAlignment="1">
      <alignment vertical="center" wrapText="1"/>
    </xf>
    <xf numFmtId="0" fontId="0" fillId="0" borderId="0" xfId="0" applyBorder="1"/>
    <xf numFmtId="0" fontId="10" fillId="0" borderId="0" xfId="0" applyNumberFormat="1" applyFont="1"/>
    <xf numFmtId="0" fontId="28" fillId="0" borderId="0" xfId="0" applyFont="1"/>
    <xf numFmtId="0" fontId="27" fillId="0" borderId="0" xfId="0" applyFont="1"/>
    <xf numFmtId="0" fontId="27" fillId="0" borderId="0" xfId="0" applyFont="1" applyFill="1"/>
    <xf numFmtId="0" fontId="31" fillId="3" borderId="0" xfId="0" applyFont="1" applyFill="1"/>
    <xf numFmtId="0" fontId="31" fillId="0" borderId="0" xfId="0" applyFont="1" applyFill="1"/>
    <xf numFmtId="0" fontId="27" fillId="0" borderId="0" xfId="0" applyFont="1" applyAlignment="1">
      <alignment vertical="center"/>
    </xf>
    <xf numFmtId="0" fontId="27" fillId="0" borderId="0" xfId="0" applyFont="1" applyFill="1" applyBorder="1"/>
    <xf numFmtId="43" fontId="0" fillId="0" borderId="0" xfId="0" applyNumberFormat="1"/>
    <xf numFmtId="3" fontId="0" fillId="0" borderId="0" xfId="0" applyNumberFormat="1"/>
    <xf numFmtId="0" fontId="27" fillId="0" borderId="0" xfId="0" applyFont="1" applyAlignment="1">
      <alignment horizontal="left" vertical="center"/>
    </xf>
    <xf numFmtId="166" fontId="0" fillId="0" borderId="0" xfId="0" applyNumberFormat="1"/>
    <xf numFmtId="0" fontId="17" fillId="0" borderId="0" xfId="0" applyFont="1" applyBorder="1" applyAlignment="1">
      <alignment horizontal="right"/>
    </xf>
    <xf numFmtId="3" fontId="20" fillId="0" borderId="0" xfId="0" applyNumberFormat="1" applyFont="1" applyFill="1" applyBorder="1"/>
    <xf numFmtId="0" fontId="17" fillId="0" borderId="17" xfId="0" applyFont="1" applyBorder="1"/>
    <xf numFmtId="0" fontId="17" fillId="0" borderId="26" xfId="0" applyFont="1" applyFill="1" applyBorder="1"/>
    <xf numFmtId="164" fontId="10" fillId="0" borderId="0" xfId="0" applyNumberFormat="1" applyFont="1"/>
    <xf numFmtId="0" fontId="12" fillId="0" borderId="0" xfId="0" applyFont="1" applyFill="1" applyAlignment="1">
      <alignment vertical="center"/>
    </xf>
    <xf numFmtId="0" fontId="26" fillId="0" borderId="0" xfId="0" applyFont="1" applyFill="1" applyBorder="1" applyAlignment="1">
      <alignment vertical="center"/>
    </xf>
    <xf numFmtId="0" fontId="26" fillId="0" borderId="0" xfId="0" applyFont="1" applyFill="1" applyAlignment="1">
      <alignment vertical="center"/>
    </xf>
    <xf numFmtId="0" fontId="10" fillId="0" borderId="15" xfId="12" applyFont="1" applyBorder="1" applyAlignment="1">
      <alignment wrapText="1"/>
    </xf>
    <xf numFmtId="0" fontId="9" fillId="12" borderId="0" xfId="0" applyFont="1" applyFill="1" applyAlignment="1">
      <alignment vertical="center" wrapText="1"/>
    </xf>
    <xf numFmtId="0" fontId="9" fillId="12" borderId="0" xfId="0" applyFont="1" applyFill="1" applyAlignment="1">
      <alignment vertical="center"/>
    </xf>
    <xf numFmtId="0" fontId="35" fillId="12" borderId="0" xfId="0" applyFont="1" applyFill="1" applyAlignment="1">
      <alignment vertical="center" wrapText="1"/>
    </xf>
    <xf numFmtId="9" fontId="9" fillId="0" borderId="0" xfId="10" applyFont="1" applyFill="1" applyBorder="1"/>
    <xf numFmtId="0" fontId="20" fillId="0" borderId="0" xfId="0" applyFont="1"/>
    <xf numFmtId="0" fontId="10" fillId="0" borderId="0" xfId="0" applyFont="1" applyAlignment="1">
      <alignment vertical="top"/>
    </xf>
    <xf numFmtId="0" fontId="11" fillId="0" borderId="20" xfId="0" applyFont="1" applyBorder="1" applyAlignment="1">
      <alignment horizontal="left" indent="6"/>
    </xf>
    <xf numFmtId="0" fontId="9" fillId="0" borderId="45" xfId="0" applyFont="1" applyBorder="1" applyAlignment="1">
      <alignment horizontal="right"/>
    </xf>
    <xf numFmtId="9" fontId="9" fillId="0" borderId="45" xfId="0" applyNumberFormat="1" applyFont="1" applyBorder="1" applyAlignment="1">
      <alignment horizontal="right"/>
    </xf>
    <xf numFmtId="0" fontId="12" fillId="0" borderId="20" xfId="0" applyFont="1" applyBorder="1"/>
    <xf numFmtId="0" fontId="20" fillId="0" borderId="0" xfId="0" applyFont="1" applyAlignment="1">
      <alignment vertical="top"/>
    </xf>
    <xf numFmtId="164" fontId="15" fillId="4" borderId="15" xfId="0" applyNumberFormat="1" applyFont="1" applyFill="1" applyBorder="1"/>
    <xf numFmtId="166" fontId="9" fillId="0" borderId="0" xfId="2" applyNumberFormat="1" applyFont="1" applyFill="1" applyBorder="1"/>
    <xf numFmtId="0" fontId="9" fillId="0" borderId="0" xfId="0" applyFont="1" applyFill="1" applyBorder="1"/>
    <xf numFmtId="0" fontId="12" fillId="0" borderId="22" xfId="0" applyFont="1" applyBorder="1"/>
    <xf numFmtId="9" fontId="9" fillId="0" borderId="0" xfId="10" quotePrefix="1" applyFont="1" applyFill="1" applyBorder="1"/>
    <xf numFmtId="0" fontId="18" fillId="0" borderId="4" xfId="0" applyFont="1" applyBorder="1" applyAlignment="1">
      <alignment horizontal="center" vertical="center" wrapText="1"/>
    </xf>
    <xf numFmtId="9" fontId="9" fillId="0" borderId="0" xfId="10" applyFont="1" applyFill="1" applyBorder="1" applyAlignment="1">
      <alignment horizontal="center"/>
    </xf>
    <xf numFmtId="0" fontId="20" fillId="0" borderId="0" xfId="0" applyFont="1" applyFill="1"/>
    <xf numFmtId="0" fontId="17" fillId="3" borderId="13" xfId="0" applyFont="1" applyFill="1" applyBorder="1" applyAlignment="1">
      <alignment horizontal="center" vertical="center"/>
    </xf>
    <xf numFmtId="0" fontId="17" fillId="3" borderId="37" xfId="0" applyFont="1" applyFill="1" applyBorder="1" applyAlignment="1">
      <alignment horizontal="center" vertical="center"/>
    </xf>
    <xf numFmtId="0" fontId="9" fillId="0" borderId="0" xfId="0" applyFont="1" applyAlignment="1">
      <alignment horizontal="center" vertical="center"/>
    </xf>
    <xf numFmtId="0" fontId="17" fillId="3" borderId="17" xfId="0" applyFont="1" applyFill="1" applyBorder="1" applyAlignment="1">
      <alignment horizontal="center" vertical="center"/>
    </xf>
    <xf numFmtId="0" fontId="17" fillId="3" borderId="18" xfId="0" applyFont="1" applyFill="1" applyBorder="1" applyAlignment="1">
      <alignment horizontal="center" vertical="center"/>
    </xf>
    <xf numFmtId="0" fontId="17" fillId="3" borderId="38" xfId="0" applyFont="1" applyFill="1" applyBorder="1" applyAlignment="1">
      <alignment horizontal="center" vertical="center"/>
    </xf>
    <xf numFmtId="0" fontId="17" fillId="3" borderId="19" xfId="0" applyFont="1" applyFill="1" applyBorder="1" applyAlignment="1">
      <alignment horizontal="center" vertical="center"/>
    </xf>
    <xf numFmtId="0" fontId="10" fillId="5" borderId="3" xfId="10" applyNumberFormat="1" applyFont="1" applyFill="1" applyBorder="1"/>
    <xf numFmtId="9" fontId="10" fillId="5" borderId="3" xfId="10" applyFont="1" applyFill="1" applyBorder="1" applyAlignment="1">
      <alignment horizontal="center"/>
    </xf>
    <xf numFmtId="0" fontId="10" fillId="5" borderId="3" xfId="10" applyNumberFormat="1" applyFont="1" applyFill="1" applyBorder="1" applyAlignment="1">
      <alignment horizontal="center" vertical="center"/>
    </xf>
    <xf numFmtId="9" fontId="10" fillId="5" borderId="3" xfId="10" applyFont="1" applyFill="1" applyBorder="1" applyAlignment="1">
      <alignment horizontal="center" vertical="center"/>
    </xf>
    <xf numFmtId="0" fontId="29" fillId="0" borderId="0" xfId="0" applyFont="1" applyBorder="1"/>
    <xf numFmtId="2" fontId="10" fillId="5" borderId="3" xfId="10" applyNumberFormat="1" applyFont="1" applyFill="1" applyBorder="1" applyAlignment="1">
      <alignment horizontal="center" vertical="center"/>
    </xf>
    <xf numFmtId="0" fontId="33" fillId="0" borderId="0" xfId="0" applyFont="1"/>
    <xf numFmtId="0" fontId="12" fillId="10" borderId="0" xfId="0" quotePrefix="1" applyFont="1" applyFill="1"/>
    <xf numFmtId="0" fontId="10" fillId="0" borderId="0" xfId="0" applyFont="1" applyAlignment="1">
      <alignment horizontal="center"/>
    </xf>
    <xf numFmtId="0" fontId="10" fillId="0" borderId="0" xfId="0" applyFont="1" applyBorder="1" applyAlignment="1">
      <alignment horizontal="center"/>
    </xf>
    <xf numFmtId="10" fontId="10" fillId="0" borderId="0" xfId="10" applyNumberFormat="1" applyFont="1" applyAlignment="1">
      <alignment horizontal="center" vertical="center"/>
    </xf>
    <xf numFmtId="2" fontId="10" fillId="0" borderId="0" xfId="0" applyNumberFormat="1" applyFont="1" applyAlignment="1"/>
    <xf numFmtId="0" fontId="10" fillId="0" borderId="0" xfId="0" applyFont="1" applyAlignment="1"/>
    <xf numFmtId="43" fontId="10" fillId="0" borderId="0" xfId="0" applyNumberFormat="1" applyFont="1" applyAlignment="1"/>
    <xf numFmtId="2" fontId="12" fillId="7" borderId="0" xfId="7" applyNumberFormat="1" applyFont="1" applyAlignment="1"/>
    <xf numFmtId="0" fontId="26" fillId="0" borderId="0" xfId="0" applyFont="1" applyFill="1" applyBorder="1" applyAlignment="1">
      <alignment horizontal="left" vertical="center" indent="2"/>
    </xf>
    <xf numFmtId="10" fontId="9" fillId="0" borderId="45" xfId="10" applyNumberFormat="1" applyFont="1" applyBorder="1" applyAlignment="1">
      <alignment horizontal="right"/>
    </xf>
    <xf numFmtId="0" fontId="36" fillId="0" borderId="0" xfId="0" applyFont="1"/>
    <xf numFmtId="9" fontId="16" fillId="0" borderId="0" xfId="10" applyFont="1"/>
    <xf numFmtId="1" fontId="9" fillId="0" borderId="0" xfId="0" applyNumberFormat="1" applyFont="1"/>
    <xf numFmtId="0" fontId="9" fillId="0" borderId="0" xfId="0" quotePrefix="1" applyFont="1" applyBorder="1" applyAlignment="1">
      <alignment horizontal="left" indent="1"/>
    </xf>
    <xf numFmtId="9" fontId="9" fillId="0" borderId="0" xfId="0" applyNumberFormat="1" applyFont="1" applyBorder="1" applyAlignment="1">
      <alignment horizontal="center"/>
    </xf>
    <xf numFmtId="0" fontId="12" fillId="0" borderId="13" xfId="0" quotePrefix="1" applyFont="1" applyBorder="1" applyAlignment="1">
      <alignment horizontal="left" indent="1"/>
    </xf>
    <xf numFmtId="9" fontId="10" fillId="0" borderId="0" xfId="10" applyNumberFormat="1" applyFont="1" applyFill="1" applyBorder="1"/>
    <xf numFmtId="3" fontId="16" fillId="0" borderId="0" xfId="0" applyNumberFormat="1" applyFont="1"/>
    <xf numFmtId="3" fontId="10" fillId="5" borderId="3" xfId="2" applyNumberFormat="1" applyFont="1" applyFill="1" applyBorder="1" applyAlignment="1">
      <alignment horizontal="center" vertical="center"/>
    </xf>
    <xf numFmtId="0" fontId="10" fillId="0" borderId="0" xfId="0" applyFont="1" applyFill="1" applyBorder="1" applyAlignment="1">
      <alignment vertical="top"/>
    </xf>
    <xf numFmtId="0" fontId="9" fillId="0" borderId="0" xfId="0" applyFont="1" applyAlignment="1">
      <alignment vertical="top" wrapText="1"/>
    </xf>
    <xf numFmtId="166" fontId="16" fillId="0" borderId="0" xfId="0" applyNumberFormat="1" applyFont="1" applyBorder="1"/>
    <xf numFmtId="166" fontId="16" fillId="0" borderId="0" xfId="0" applyNumberFormat="1" applyFont="1"/>
    <xf numFmtId="43" fontId="16" fillId="0" borderId="0" xfId="0" applyNumberFormat="1" applyFont="1"/>
    <xf numFmtId="171" fontId="16" fillId="0" borderId="0" xfId="0" applyNumberFormat="1" applyFont="1"/>
    <xf numFmtId="0" fontId="9" fillId="0" borderId="0" xfId="0" applyFont="1" applyBorder="1" applyAlignment="1">
      <alignment horizontal="center"/>
    </xf>
    <xf numFmtId="0" fontId="12" fillId="0" borderId="17" xfId="0" applyFont="1" applyBorder="1"/>
    <xf numFmtId="10" fontId="9" fillId="0" borderId="19" xfId="10" applyNumberFormat="1" applyFont="1" applyBorder="1" applyAlignment="1">
      <alignment horizontal="center"/>
    </xf>
    <xf numFmtId="10" fontId="9" fillId="0" borderId="21" xfId="10" applyNumberFormat="1" applyFont="1" applyBorder="1" applyAlignment="1">
      <alignment horizontal="center"/>
    </xf>
    <xf numFmtId="0" fontId="9" fillId="0" borderId="21" xfId="0" applyFont="1" applyBorder="1" applyAlignment="1">
      <alignment horizontal="center"/>
    </xf>
    <xf numFmtId="0" fontId="9" fillId="0" borderId="23" xfId="0" applyFont="1" applyBorder="1" applyAlignment="1">
      <alignment horizontal="center"/>
    </xf>
    <xf numFmtId="43" fontId="10" fillId="0" borderId="15" xfId="0" applyNumberFormat="1" applyFont="1" applyBorder="1"/>
    <xf numFmtId="0" fontId="9" fillId="0" borderId="15" xfId="0" applyFont="1" applyBorder="1" applyAlignment="1">
      <alignment vertical="center"/>
    </xf>
    <xf numFmtId="9" fontId="10" fillId="5" borderId="3" xfId="10" applyNumberFormat="1" applyFont="1" applyFill="1" applyBorder="1" applyAlignment="1">
      <alignment horizontal="center"/>
    </xf>
    <xf numFmtId="9" fontId="10" fillId="0" borderId="0" xfId="0" applyNumberFormat="1" applyFont="1" applyFill="1" applyAlignment="1">
      <alignment horizontal="center"/>
    </xf>
    <xf numFmtId="9" fontId="10" fillId="0" borderId="0" xfId="0" applyNumberFormat="1" applyFont="1" applyAlignment="1">
      <alignment horizontal="center"/>
    </xf>
    <xf numFmtId="9" fontId="10" fillId="0" borderId="1" xfId="10" applyFont="1" applyFill="1" applyBorder="1" applyAlignment="1">
      <alignment horizontal="center" vertical="center"/>
    </xf>
    <xf numFmtId="9" fontId="9" fillId="0" borderId="0" xfId="10" applyFont="1" applyFill="1" applyBorder="1" applyAlignment="1">
      <alignment horizontal="center" vertical="center"/>
    </xf>
    <xf numFmtId="9" fontId="10" fillId="0" borderId="34" xfId="10" applyFont="1" applyFill="1" applyBorder="1" applyAlignment="1">
      <alignment horizontal="center" vertical="center"/>
    </xf>
    <xf numFmtId="9" fontId="10" fillId="0" borderId="35" xfId="10" applyFont="1" applyFill="1" applyBorder="1" applyAlignment="1">
      <alignment horizontal="center" vertical="center"/>
    </xf>
    <xf numFmtId="9" fontId="10" fillId="0" borderId="36" xfId="10" applyFont="1" applyFill="1" applyBorder="1" applyAlignment="1">
      <alignment horizontal="center" vertical="center"/>
    </xf>
    <xf numFmtId="0" fontId="10" fillId="5" borderId="3" xfId="10" applyNumberFormat="1" applyFont="1" applyFill="1" applyBorder="1" applyAlignment="1">
      <alignment horizontal="center"/>
    </xf>
    <xf numFmtId="0" fontId="11" fillId="0" borderId="0" xfId="0" applyFont="1" applyAlignment="1">
      <alignment wrapText="1"/>
    </xf>
    <xf numFmtId="49" fontId="20" fillId="0" borderId="0" xfId="0" applyNumberFormat="1" applyFont="1"/>
    <xf numFmtId="2" fontId="10" fillId="5" borderId="3" xfId="10" applyNumberFormat="1" applyFont="1" applyFill="1" applyBorder="1" applyAlignment="1">
      <alignment horizontal="center"/>
    </xf>
    <xf numFmtId="0" fontId="10" fillId="0" borderId="0" xfId="0" quotePrefix="1" applyFont="1"/>
    <xf numFmtId="9" fontId="10" fillId="0" borderId="15" xfId="10" applyFont="1" applyBorder="1"/>
    <xf numFmtId="9" fontId="10" fillId="0" borderId="0" xfId="10" applyFont="1" applyBorder="1" applyAlignment="1">
      <alignment horizontal="center" vertical="center"/>
    </xf>
    <xf numFmtId="0" fontId="10" fillId="4" borderId="0" xfId="0" applyFont="1" applyFill="1" applyBorder="1"/>
    <xf numFmtId="0" fontId="10" fillId="4" borderId="0" xfId="0" applyFont="1" applyFill="1" applyBorder="1" applyAlignment="1">
      <alignment horizontal="left" vertical="top" wrapText="1"/>
    </xf>
    <xf numFmtId="0" fontId="29" fillId="4" borderId="0" xfId="0" applyFont="1" applyFill="1" applyBorder="1"/>
    <xf numFmtId="0" fontId="10" fillId="4" borderId="0" xfId="10" applyNumberFormat="1" applyFont="1" applyFill="1" applyBorder="1" applyAlignment="1">
      <alignment horizontal="center" vertical="center"/>
    </xf>
    <xf numFmtId="10" fontId="10" fillId="4" borderId="0" xfId="10" applyNumberFormat="1" applyFont="1" applyFill="1" applyBorder="1"/>
    <xf numFmtId="10" fontId="10" fillId="4" borderId="0" xfId="10" applyNumberFormat="1" applyFont="1" applyFill="1" applyBorder="1" applyAlignment="1">
      <alignment horizontal="center" vertical="center"/>
    </xf>
    <xf numFmtId="9" fontId="10" fillId="0" borderId="0" xfId="10" applyFont="1" applyBorder="1" applyAlignment="1">
      <alignment horizontal="center"/>
    </xf>
    <xf numFmtId="9" fontId="10" fillId="0" borderId="0" xfId="10" applyFont="1" applyAlignment="1">
      <alignment horizontal="center"/>
    </xf>
    <xf numFmtId="0" fontId="38" fillId="0" borderId="0" xfId="0" applyFont="1"/>
    <xf numFmtId="3" fontId="9" fillId="0" borderId="0" xfId="0" applyNumberFormat="1" applyFont="1"/>
    <xf numFmtId="3" fontId="19" fillId="0" borderId="0" xfId="0" applyNumberFormat="1" applyFont="1"/>
    <xf numFmtId="166" fontId="4" fillId="0" borderId="0" xfId="0" applyNumberFormat="1" applyFont="1"/>
    <xf numFmtId="166" fontId="0" fillId="0" borderId="0" xfId="0" applyNumberFormat="1" applyFont="1"/>
    <xf numFmtId="3" fontId="10" fillId="0" borderId="39" xfId="0" applyNumberFormat="1" applyFont="1" applyFill="1" applyBorder="1"/>
    <xf numFmtId="3" fontId="10" fillId="0" borderId="40" xfId="0" applyNumberFormat="1" applyFont="1" applyFill="1" applyBorder="1"/>
    <xf numFmtId="3" fontId="17" fillId="0" borderId="30" xfId="0" applyNumberFormat="1" applyFont="1" applyFill="1" applyBorder="1"/>
    <xf numFmtId="164" fontId="37" fillId="4" borderId="15" xfId="0" applyNumberFormat="1" applyFont="1" applyFill="1" applyBorder="1" applyAlignment="1">
      <alignment wrapText="1"/>
    </xf>
    <xf numFmtId="165" fontId="10" fillId="5" borderId="3" xfId="10" applyNumberFormat="1" applyFont="1" applyFill="1" applyBorder="1" applyAlignment="1">
      <alignment horizontal="center" vertical="center"/>
    </xf>
    <xf numFmtId="9" fontId="10" fillId="5" borderId="3" xfId="10" applyNumberFormat="1" applyFont="1" applyFill="1" applyBorder="1" applyAlignment="1">
      <alignment horizontal="center" vertical="center"/>
    </xf>
    <xf numFmtId="2" fontId="10" fillId="0" borderId="55" xfId="0" applyNumberFormat="1" applyFont="1" applyBorder="1" applyAlignment="1"/>
    <xf numFmtId="0" fontId="2" fillId="0" borderId="0" xfId="0" applyFont="1"/>
    <xf numFmtId="9" fontId="19" fillId="0" borderId="0" xfId="10" applyFont="1"/>
    <xf numFmtId="2" fontId="9" fillId="0" borderId="37" xfId="0" applyNumberFormat="1" applyFont="1" applyBorder="1" applyAlignment="1">
      <alignment horizontal="center"/>
    </xf>
    <xf numFmtId="3" fontId="19" fillId="0" borderId="0" xfId="0" applyNumberFormat="1" applyFont="1" applyFill="1"/>
    <xf numFmtId="3" fontId="2" fillId="0" borderId="0" xfId="0" applyNumberFormat="1" applyFont="1"/>
    <xf numFmtId="166" fontId="17" fillId="0" borderId="0" xfId="2" applyNumberFormat="1" applyFont="1" applyFill="1"/>
    <xf numFmtId="166" fontId="0" fillId="0" borderId="0" xfId="2" applyNumberFormat="1" applyFont="1"/>
    <xf numFmtId="166" fontId="9" fillId="0" borderId="0" xfId="2" applyNumberFormat="1" applyFont="1"/>
    <xf numFmtId="0" fontId="0" fillId="0" borderId="0" xfId="0"/>
    <xf numFmtId="0" fontId="10" fillId="0" borderId="0" xfId="0" applyFont="1"/>
    <xf numFmtId="0" fontId="10" fillId="0" borderId="0" xfId="0" applyFont="1" applyFill="1"/>
    <xf numFmtId="0" fontId="10" fillId="0" borderId="0" xfId="0" applyFont="1" applyFill="1" applyBorder="1"/>
    <xf numFmtId="0" fontId="9" fillId="0" borderId="0" xfId="0" applyFont="1" applyBorder="1"/>
    <xf numFmtId="0" fontId="27" fillId="0" borderId="0" xfId="0" applyFont="1"/>
    <xf numFmtId="0" fontId="27" fillId="0" borderId="0" xfId="0" applyFont="1" applyFill="1"/>
    <xf numFmtId="3" fontId="0" fillId="0" borderId="0" xfId="0" applyNumberFormat="1"/>
    <xf numFmtId="166" fontId="0" fillId="0" borderId="0" xfId="0" applyNumberFormat="1"/>
    <xf numFmtId="170" fontId="0" fillId="0" borderId="0" xfId="0" applyNumberFormat="1"/>
    <xf numFmtId="0" fontId="26" fillId="0" borderId="0" xfId="0" applyFont="1" applyFill="1" applyBorder="1" applyAlignment="1">
      <alignment vertical="center"/>
    </xf>
    <xf numFmtId="0" fontId="9" fillId="0" borderId="14" xfId="0" applyFont="1" applyBorder="1"/>
    <xf numFmtId="0" fontId="9" fillId="0" borderId="22" xfId="0" applyFont="1" applyBorder="1"/>
    <xf numFmtId="0" fontId="9" fillId="0" borderId="23" xfId="0" applyFont="1" applyBorder="1"/>
    <xf numFmtId="0" fontId="23" fillId="0" borderId="15" xfId="0" applyFont="1" applyBorder="1" applyAlignment="1">
      <alignment wrapText="1"/>
    </xf>
    <xf numFmtId="0" fontId="11" fillId="0" borderId="22" xfId="0" applyFont="1" applyBorder="1" applyAlignment="1">
      <alignment horizontal="left" wrapText="1" indent="6"/>
    </xf>
    <xf numFmtId="9" fontId="9" fillId="0" borderId="42" xfId="0" applyNumberFormat="1" applyFont="1" applyBorder="1" applyAlignment="1">
      <alignment horizontal="right"/>
    </xf>
    <xf numFmtId="0" fontId="9" fillId="0" borderId="15" xfId="0" applyFont="1" applyFill="1" applyBorder="1" applyAlignment="1">
      <alignment wrapText="1"/>
    </xf>
    <xf numFmtId="0" fontId="9" fillId="0" borderId="0" xfId="0" applyFont="1" applyAlignment="1">
      <alignment horizontal="left"/>
    </xf>
    <xf numFmtId="0" fontId="19" fillId="0" borderId="0" xfId="0" applyFont="1" applyFill="1" applyBorder="1"/>
    <xf numFmtId="0" fontId="12" fillId="0" borderId="0" xfId="0" applyFont="1" applyFill="1" applyBorder="1"/>
    <xf numFmtId="9" fontId="9" fillId="0" borderId="56" xfId="0" applyNumberFormat="1" applyFont="1" applyBorder="1" applyAlignment="1">
      <alignment horizontal="right"/>
    </xf>
    <xf numFmtId="3" fontId="10" fillId="0" borderId="0" xfId="0" applyNumberFormat="1" applyFont="1" applyFill="1" applyBorder="1"/>
    <xf numFmtId="3" fontId="17" fillId="0" borderId="0" xfId="0" applyNumberFormat="1" applyFont="1" applyFill="1" applyBorder="1"/>
    <xf numFmtId="3" fontId="17" fillId="0" borderId="0" xfId="0" applyNumberFormat="1" applyFont="1" applyBorder="1"/>
    <xf numFmtId="3" fontId="10" fillId="0" borderId="41" xfId="0" applyNumberFormat="1" applyFont="1" applyFill="1" applyBorder="1"/>
    <xf numFmtId="0" fontId="13" fillId="0" borderId="0" xfId="0" applyFont="1" applyBorder="1"/>
    <xf numFmtId="2" fontId="9" fillId="0" borderId="0" xfId="0" quotePrefix="1" applyNumberFormat="1" applyFont="1" applyAlignment="1">
      <alignment horizontal="center" vertical="center"/>
    </xf>
    <xf numFmtId="0" fontId="17" fillId="0" borderId="16" xfId="0" applyFont="1" applyFill="1" applyBorder="1"/>
    <xf numFmtId="0" fontId="39" fillId="0" borderId="0" xfId="0" applyFont="1" applyAlignment="1">
      <alignment horizontal="left"/>
    </xf>
    <xf numFmtId="3" fontId="9" fillId="0" borderId="0" xfId="0" applyNumberFormat="1" applyFont="1" applyFill="1" applyBorder="1"/>
    <xf numFmtId="166" fontId="2" fillId="0" borderId="0" xfId="0" applyNumberFormat="1" applyFont="1"/>
    <xf numFmtId="0" fontId="12" fillId="3" borderId="0" xfId="0" applyFont="1" applyFill="1"/>
    <xf numFmtId="15" fontId="12" fillId="0" borderId="0" xfId="0" applyNumberFormat="1" applyFont="1" applyAlignment="1">
      <alignment horizontal="left"/>
    </xf>
    <xf numFmtId="0" fontId="12" fillId="0" borderId="0" xfId="0" quotePrefix="1" applyFont="1"/>
    <xf numFmtId="0" fontId="40" fillId="2" borderId="0" xfId="1" applyFont="1" applyFill="1"/>
    <xf numFmtId="0" fontId="12" fillId="0" borderId="0" xfId="0" applyFont="1" applyAlignment="1">
      <alignment horizontal="left"/>
    </xf>
    <xf numFmtId="0" fontId="9" fillId="4" borderId="0" xfId="0" applyFont="1" applyFill="1" applyBorder="1"/>
    <xf numFmtId="0" fontId="9" fillId="0" borderId="0" xfId="0" quotePrefix="1" applyFont="1"/>
    <xf numFmtId="15" fontId="9" fillId="0" borderId="0" xfId="0" applyNumberFormat="1" applyFont="1" applyAlignment="1">
      <alignment horizontal="left"/>
    </xf>
    <xf numFmtId="0" fontId="10" fillId="0" borderId="0" xfId="0" applyFont="1" applyBorder="1" applyAlignment="1"/>
    <xf numFmtId="0" fontId="12" fillId="5" borderId="1" xfId="0" quotePrefix="1" applyFont="1" applyFill="1" applyBorder="1" applyAlignment="1" applyProtection="1"/>
    <xf numFmtId="0" fontId="9" fillId="5" borderId="2" xfId="3" quotePrefix="1" applyFont="1"/>
    <xf numFmtId="0" fontId="10" fillId="5" borderId="3" xfId="4" quotePrefix="1" applyFont="1"/>
    <xf numFmtId="0" fontId="9" fillId="4" borderId="2" xfId="5" quotePrefix="1" applyFont="1"/>
    <xf numFmtId="0" fontId="10" fillId="6" borderId="0" xfId="6" applyFont="1"/>
    <xf numFmtId="0" fontId="9" fillId="7" borderId="0" xfId="7" applyFont="1"/>
    <xf numFmtId="0" fontId="41" fillId="0" borderId="0" xfId="0" applyFont="1"/>
    <xf numFmtId="0" fontId="9" fillId="3" borderId="0" xfId="0" applyFont="1" applyFill="1"/>
    <xf numFmtId="164" fontId="9" fillId="0" borderId="0" xfId="0" applyNumberFormat="1" applyFont="1"/>
    <xf numFmtId="0" fontId="39" fillId="0" borderId="0" xfId="0" applyFont="1"/>
    <xf numFmtId="0" fontId="9" fillId="0" borderId="0" xfId="0" applyFont="1" applyAlignment="1">
      <alignment horizontal="left" indent="2"/>
    </xf>
    <xf numFmtId="0" fontId="12" fillId="5" borderId="1" xfId="0" quotePrefix="1" applyFont="1" applyFill="1" applyBorder="1" applyAlignment="1" applyProtection="1">
      <alignment horizontal="center"/>
    </xf>
    <xf numFmtId="0" fontId="39" fillId="0" borderId="0" xfId="0" applyFont="1" applyFill="1"/>
    <xf numFmtId="0" fontId="10" fillId="0" borderId="0" xfId="0" applyFont="1" applyAlignment="1">
      <alignment horizontal="left" indent="4"/>
    </xf>
    <xf numFmtId="0" fontId="9" fillId="0" borderId="0" xfId="0" applyFont="1" applyAlignment="1">
      <alignment horizontal="left" indent="4"/>
    </xf>
    <xf numFmtId="0" fontId="10" fillId="0" borderId="17" xfId="0" applyFont="1" applyBorder="1"/>
    <xf numFmtId="0" fontId="17" fillId="0" borderId="20" xfId="0" applyFont="1" applyBorder="1"/>
    <xf numFmtId="0" fontId="17" fillId="8" borderId="20" xfId="0" applyFont="1" applyFill="1" applyBorder="1"/>
    <xf numFmtId="3" fontId="19" fillId="0" borderId="0" xfId="0" applyNumberFormat="1" applyFont="1" applyBorder="1"/>
    <xf numFmtId="0" fontId="10" fillId="0" borderId="18" xfId="0" applyFont="1" applyBorder="1"/>
    <xf numFmtId="0" fontId="10" fillId="0" borderId="38" xfId="0" applyFont="1" applyBorder="1"/>
    <xf numFmtId="0" fontId="10" fillId="0" borderId="19" xfId="0" applyFont="1" applyBorder="1"/>
    <xf numFmtId="3" fontId="10" fillId="0" borderId="43" xfId="0" applyNumberFormat="1" applyFont="1" applyBorder="1"/>
    <xf numFmtId="166" fontId="10" fillId="0" borderId="0" xfId="0" applyNumberFormat="1" applyFont="1" applyBorder="1"/>
    <xf numFmtId="3" fontId="10" fillId="0" borderId="0" xfId="0" applyNumberFormat="1" applyFont="1" applyBorder="1"/>
    <xf numFmtId="3" fontId="10" fillId="0" borderId="21" xfId="0" applyNumberFormat="1" applyFont="1" applyFill="1" applyBorder="1"/>
    <xf numFmtId="0" fontId="17" fillId="8" borderId="0" xfId="0" applyFont="1" applyFill="1" applyBorder="1"/>
    <xf numFmtId="3" fontId="10" fillId="8" borderId="43" xfId="0" applyNumberFormat="1" applyFont="1" applyFill="1" applyBorder="1"/>
    <xf numFmtId="0" fontId="10" fillId="8" borderId="0" xfId="0" applyFont="1" applyFill="1" applyBorder="1"/>
    <xf numFmtId="166" fontId="10" fillId="8" borderId="0" xfId="0" applyNumberFormat="1" applyFont="1" applyFill="1" applyBorder="1"/>
    <xf numFmtId="3" fontId="10" fillId="8" borderId="0" xfId="0" applyNumberFormat="1" applyFont="1" applyFill="1" applyBorder="1"/>
    <xf numFmtId="3" fontId="10" fillId="8" borderId="21" xfId="0" applyNumberFormat="1" applyFont="1" applyFill="1" applyBorder="1"/>
    <xf numFmtId="3" fontId="10" fillId="0" borderId="21" xfId="0" applyNumberFormat="1" applyFont="1" applyBorder="1"/>
    <xf numFmtId="0" fontId="20" fillId="0" borderId="0" xfId="0" applyFont="1" applyBorder="1" applyAlignment="1">
      <alignment horizontal="left" indent="2"/>
    </xf>
    <xf numFmtId="43" fontId="10" fillId="0" borderId="0" xfId="0" applyNumberFormat="1" applyFont="1" applyBorder="1"/>
    <xf numFmtId="0" fontId="23" fillId="0" borderId="0" xfId="0" applyFont="1" applyFill="1" applyBorder="1" applyAlignment="1">
      <alignment horizontal="left" indent="2"/>
    </xf>
    <xf numFmtId="3" fontId="19" fillId="0" borderId="0" xfId="0" applyNumberFormat="1" applyFont="1" applyFill="1" applyBorder="1"/>
    <xf numFmtId="43" fontId="19" fillId="0" borderId="0" xfId="0" applyNumberFormat="1" applyFont="1" applyFill="1" applyBorder="1"/>
    <xf numFmtId="0" fontId="20" fillId="0" borderId="0" xfId="0" applyFont="1" applyFill="1" applyBorder="1" applyAlignment="1">
      <alignment horizontal="left" indent="2"/>
    </xf>
    <xf numFmtId="0" fontId="9" fillId="0" borderId="69" xfId="0" applyFont="1" applyBorder="1"/>
    <xf numFmtId="0" fontId="12" fillId="0" borderId="20" xfId="0" applyFont="1" applyBorder="1" applyAlignment="1">
      <alignment horizontal="left"/>
    </xf>
    <xf numFmtId="9" fontId="39" fillId="0" borderId="0" xfId="0" applyNumberFormat="1" applyFont="1"/>
    <xf numFmtId="0" fontId="10" fillId="0" borderId="0" xfId="0" applyFont="1" applyAlignment="1">
      <alignment horizontal="center" vertical="center"/>
    </xf>
    <xf numFmtId="0" fontId="42" fillId="0" borderId="0" xfId="0" applyFont="1"/>
    <xf numFmtId="0" fontId="42" fillId="0" borderId="0" xfId="0" applyFont="1" applyFill="1"/>
    <xf numFmtId="2" fontId="9" fillId="0" borderId="0" xfId="0" quotePrefix="1" applyNumberFormat="1" applyFont="1"/>
    <xf numFmtId="0" fontId="17" fillId="0" borderId="46" xfId="0" applyFont="1" applyBorder="1" applyAlignment="1">
      <alignment horizontal="center" vertical="center"/>
    </xf>
    <xf numFmtId="0" fontId="17" fillId="0" borderId="66" xfId="0" applyFont="1" applyBorder="1" applyAlignment="1">
      <alignment horizontal="center" vertical="center" wrapText="1"/>
    </xf>
    <xf numFmtId="0" fontId="17" fillId="0" borderId="67" xfId="0" applyFont="1" applyBorder="1" applyAlignment="1">
      <alignment horizontal="center" vertical="center"/>
    </xf>
    <xf numFmtId="0" fontId="17"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4" xfId="0" applyFont="1" applyBorder="1" applyAlignment="1">
      <alignment vertical="center"/>
    </xf>
    <xf numFmtId="0" fontId="9" fillId="5" borderId="65" xfId="10" applyNumberFormat="1" applyFont="1" applyFill="1" applyBorder="1" applyAlignment="1">
      <alignment horizontal="center" vertical="center"/>
    </xf>
    <xf numFmtId="0" fontId="10" fillId="0" borderId="34" xfId="0" quotePrefix="1" applyFont="1" applyBorder="1" applyAlignment="1">
      <alignment horizontal="left" vertical="center" wrapText="1"/>
    </xf>
    <xf numFmtId="0" fontId="10" fillId="0" borderId="0" xfId="0" quotePrefix="1" applyFont="1" applyBorder="1" applyAlignment="1">
      <alignment horizontal="left" vertical="center" wrapText="1"/>
    </xf>
    <xf numFmtId="0" fontId="10" fillId="0" borderId="0" xfId="0" applyFont="1" applyFill="1" applyBorder="1" applyAlignment="1">
      <alignment horizontal="left" vertical="center" wrapText="1"/>
    </xf>
    <xf numFmtId="0" fontId="17" fillId="0" borderId="40" xfId="0" applyFont="1" applyBorder="1" applyAlignment="1">
      <alignment vertical="center"/>
    </xf>
    <xf numFmtId="0" fontId="9" fillId="5" borderId="51" xfId="10" applyNumberFormat="1" applyFont="1" applyFill="1" applyBorder="1" applyAlignment="1">
      <alignment horizontal="center" vertical="center"/>
    </xf>
    <xf numFmtId="0" fontId="10" fillId="0" borderId="35" xfId="0" quotePrefix="1" applyFont="1" applyBorder="1" applyAlignment="1">
      <alignment horizontal="left" vertical="center" wrapText="1"/>
    </xf>
    <xf numFmtId="0" fontId="9" fillId="5" borderId="52" xfId="10" applyNumberFormat="1" applyFont="1" applyFill="1" applyBorder="1" applyAlignment="1">
      <alignment horizontal="center" vertical="center"/>
    </xf>
    <xf numFmtId="0" fontId="9" fillId="5" borderId="53" xfId="10" applyNumberFormat="1" applyFont="1" applyFill="1" applyBorder="1" applyAlignment="1">
      <alignment horizontal="center" vertical="center"/>
    </xf>
    <xf numFmtId="0" fontId="10" fillId="0" borderId="35" xfId="0" quotePrefix="1" applyFont="1" applyBorder="1" applyAlignment="1">
      <alignment horizontal="left" vertical="center"/>
    </xf>
    <xf numFmtId="0" fontId="10" fillId="0" borderId="0" xfId="0" quotePrefix="1" applyFont="1" applyBorder="1" applyAlignment="1">
      <alignment horizontal="left" vertical="center"/>
    </xf>
    <xf numFmtId="0" fontId="9" fillId="0" borderId="35" xfId="10" quotePrefix="1" applyNumberFormat="1" applyFont="1" applyFill="1" applyBorder="1" applyAlignment="1">
      <alignment vertical="center" wrapText="1"/>
    </xf>
    <xf numFmtId="0" fontId="9" fillId="0" borderId="0" xfId="10" quotePrefix="1" applyNumberFormat="1" applyFont="1" applyFill="1" applyBorder="1" applyAlignment="1">
      <alignment vertical="center" wrapText="1"/>
    </xf>
    <xf numFmtId="0" fontId="9" fillId="0" borderId="0" xfId="10" quotePrefix="1" applyNumberFormat="1" applyFont="1" applyFill="1" applyBorder="1" applyAlignment="1">
      <alignment horizontal="left" vertical="center" wrapText="1"/>
    </xf>
    <xf numFmtId="1" fontId="23" fillId="0" borderId="0" xfId="0" applyNumberFormat="1" applyFont="1"/>
    <xf numFmtId="1" fontId="20" fillId="0" borderId="60" xfId="0" applyNumberFormat="1" applyFont="1" applyBorder="1" applyAlignment="1">
      <alignment horizontal="left" vertical="top" wrapText="1"/>
    </xf>
    <xf numFmtId="0" fontId="17" fillId="0" borderId="41" xfId="0" applyFont="1" applyBorder="1" applyAlignment="1">
      <alignment vertical="center"/>
    </xf>
    <xf numFmtId="0" fontId="9" fillId="5" borderId="54" xfId="10" applyNumberFormat="1" applyFont="1" applyFill="1" applyBorder="1" applyAlignment="1">
      <alignment horizontal="center" vertical="center"/>
    </xf>
    <xf numFmtId="0" fontId="9" fillId="0" borderId="36" xfId="10" quotePrefix="1" applyNumberFormat="1" applyFont="1" applyFill="1" applyBorder="1" applyAlignment="1">
      <alignment vertical="center" wrapText="1"/>
    </xf>
    <xf numFmtId="9" fontId="9" fillId="5" borderId="2" xfId="10" applyFont="1" applyFill="1" applyBorder="1" applyAlignment="1">
      <alignment horizontal="center" vertical="center"/>
    </xf>
    <xf numFmtId="0" fontId="17" fillId="0" borderId="0" xfId="0" applyFont="1" applyFill="1" applyBorder="1" applyAlignment="1">
      <alignment vertical="center"/>
    </xf>
    <xf numFmtId="0" fontId="9" fillId="5" borderId="2" xfId="10" applyNumberFormat="1" applyFont="1" applyFill="1" applyBorder="1" applyAlignment="1">
      <alignment horizontal="center" vertical="center"/>
    </xf>
    <xf numFmtId="0" fontId="17" fillId="0" borderId="18" xfId="0" applyFont="1" applyBorder="1" applyAlignment="1">
      <alignment vertical="top"/>
    </xf>
    <xf numFmtId="0" fontId="17" fillId="0" borderId="46"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9" xfId="0" applyFont="1" applyBorder="1" applyAlignment="1">
      <alignment horizontal="left" vertical="center" wrapText="1"/>
    </xf>
    <xf numFmtId="9" fontId="9" fillId="5" borderId="47" xfId="10" applyFont="1" applyFill="1" applyBorder="1" applyAlignment="1">
      <alignment horizontal="center" vertical="center"/>
    </xf>
    <xf numFmtId="9" fontId="9" fillId="5" borderId="48" xfId="10" applyFont="1" applyFill="1" applyBorder="1" applyAlignment="1">
      <alignment horizontal="center" vertical="center"/>
    </xf>
    <xf numFmtId="0" fontId="10" fillId="0" borderId="34" xfId="0" applyFont="1" applyBorder="1" applyAlignment="1">
      <alignment wrapText="1"/>
    </xf>
    <xf numFmtId="9" fontId="9" fillId="5" borderId="44" xfId="10" applyFont="1" applyFill="1" applyBorder="1" applyAlignment="1">
      <alignment horizontal="center" vertical="center"/>
    </xf>
    <xf numFmtId="0" fontId="10" fillId="0" borderId="35" xfId="0" applyFont="1" applyBorder="1" applyAlignment="1">
      <alignment vertical="top" wrapText="1"/>
    </xf>
    <xf numFmtId="9" fontId="9" fillId="5" borderId="68" xfId="10" applyFont="1" applyFill="1" applyBorder="1" applyAlignment="1">
      <alignment horizontal="center" vertical="center"/>
    </xf>
    <xf numFmtId="0" fontId="10" fillId="0" borderId="36" xfId="0" applyFont="1" applyBorder="1" applyAlignment="1">
      <alignment vertical="center" wrapText="1"/>
    </xf>
    <xf numFmtId="3" fontId="9" fillId="5" borderId="2" xfId="10" applyNumberFormat="1" applyFont="1" applyFill="1" applyBorder="1" applyAlignment="1">
      <alignment horizontal="center" vertical="center"/>
    </xf>
    <xf numFmtId="0" fontId="43" fillId="0" borderId="0" xfId="0" applyFont="1"/>
    <xf numFmtId="0" fontId="16" fillId="0" borderId="0" xfId="0" applyFont="1" applyFill="1"/>
    <xf numFmtId="167" fontId="9" fillId="0" borderId="0" xfId="2" applyNumberFormat="1" applyFont="1" applyFill="1" applyBorder="1"/>
    <xf numFmtId="0" fontId="16" fillId="0" borderId="0" xfId="0" applyFont="1" applyFill="1" applyBorder="1"/>
    <xf numFmtId="0" fontId="25" fillId="0" borderId="0" xfId="0" applyFont="1"/>
    <xf numFmtId="0" fontId="43" fillId="3" borderId="0" xfId="0" applyFont="1" applyFill="1"/>
    <xf numFmtId="0" fontId="17" fillId="3" borderId="0" xfId="0" applyFont="1" applyFill="1" applyAlignment="1">
      <alignment wrapText="1"/>
    </xf>
    <xf numFmtId="0" fontId="45" fillId="12" borderId="0" xfId="0" applyFont="1" applyFill="1"/>
    <xf numFmtId="0" fontId="45" fillId="12" borderId="0" xfId="0" applyFont="1" applyFill="1" applyAlignment="1">
      <alignment vertical="top"/>
    </xf>
    <xf numFmtId="0" fontId="45" fillId="0" borderId="0" xfId="0" applyFont="1" applyFill="1"/>
    <xf numFmtId="0" fontId="45" fillId="12" borderId="0" xfId="0" applyFont="1" applyFill="1" applyAlignment="1">
      <alignment vertical="top" wrapText="1"/>
    </xf>
    <xf numFmtId="0" fontId="39" fillId="0" borderId="0" xfId="0" applyFont="1" applyAlignment="1">
      <alignment vertical="top"/>
    </xf>
    <xf numFmtId="0" fontId="20" fillId="0" borderId="0" xfId="0" applyFont="1" applyAlignment="1">
      <alignment vertical="center"/>
    </xf>
    <xf numFmtId="0" fontId="10" fillId="9" borderId="27" xfId="0" applyFont="1" applyFill="1" applyBorder="1" applyAlignment="1">
      <alignment horizontal="left" vertical="center"/>
    </xf>
    <xf numFmtId="0" fontId="9" fillId="9" borderId="28" xfId="0" applyFont="1" applyFill="1" applyBorder="1" applyAlignment="1">
      <alignment horizontal="left" vertical="center" wrapText="1"/>
    </xf>
    <xf numFmtId="0" fontId="10" fillId="9" borderId="28" xfId="0" applyFont="1" applyFill="1" applyBorder="1" applyAlignment="1">
      <alignment horizontal="center" vertical="center"/>
    </xf>
    <xf numFmtId="0" fontId="9" fillId="9" borderId="28" xfId="0" applyFont="1" applyFill="1" applyBorder="1" applyAlignment="1">
      <alignment vertical="center" wrapText="1"/>
    </xf>
    <xf numFmtId="0" fontId="10" fillId="9" borderId="29" xfId="0" applyFont="1" applyFill="1" applyBorder="1" applyAlignment="1">
      <alignment horizontal="left" vertical="center"/>
    </xf>
    <xf numFmtId="0" fontId="10" fillId="0" borderId="0" xfId="0" applyFont="1" applyFill="1" applyBorder="1" applyAlignment="1">
      <alignment horizontal="center" vertical="top" wrapText="1"/>
    </xf>
    <xf numFmtId="9" fontId="9" fillId="0" borderId="2" xfId="10" applyFont="1" applyFill="1" applyBorder="1" applyAlignment="1">
      <alignment horizontal="center" vertical="center"/>
    </xf>
    <xf numFmtId="9" fontId="10" fillId="14" borderId="15" xfId="10" applyFont="1" applyFill="1" applyBorder="1" applyAlignment="1">
      <alignment horizontal="center" vertical="center" wrapText="1"/>
    </xf>
    <xf numFmtId="164" fontId="9" fillId="0" borderId="2" xfId="2" applyNumberFormat="1" applyFont="1" applyFill="1" applyBorder="1" applyAlignment="1">
      <alignment horizontal="center" vertical="center"/>
    </xf>
    <xf numFmtId="0" fontId="10" fillId="0" borderId="0" xfId="0" applyFont="1" applyFill="1" applyBorder="1" applyAlignment="1">
      <alignment horizontal="center" vertical="center" wrapText="1"/>
    </xf>
    <xf numFmtId="0" fontId="10" fillId="9" borderId="24" xfId="0" applyFont="1" applyFill="1" applyBorder="1" applyAlignment="1">
      <alignment horizontal="left" vertical="center"/>
    </xf>
    <xf numFmtId="0" fontId="9" fillId="9" borderId="15" xfId="0" applyFont="1" applyFill="1" applyBorder="1" applyAlignment="1">
      <alignment horizontal="left" vertical="center" wrapText="1"/>
    </xf>
    <xf numFmtId="0" fontId="10" fillId="9" borderId="15" xfId="0" applyFont="1" applyFill="1" applyBorder="1" applyAlignment="1">
      <alignment horizontal="center" vertical="center"/>
    </xf>
    <xf numFmtId="0" fontId="9" fillId="9" borderId="15" xfId="0" applyFont="1" applyFill="1" applyBorder="1" applyAlignment="1">
      <alignment vertical="center" wrapText="1"/>
    </xf>
    <xf numFmtId="0" fontId="10" fillId="9" borderId="25" xfId="0" applyFont="1" applyFill="1" applyBorder="1" applyAlignment="1">
      <alignment horizontal="left" vertical="center"/>
    </xf>
    <xf numFmtId="0" fontId="10" fillId="0" borderId="0" xfId="0" applyFont="1" applyFill="1" applyBorder="1" applyAlignment="1">
      <alignment horizontal="center" vertical="top"/>
    </xf>
    <xf numFmtId="1" fontId="9" fillId="0" borderId="2" xfId="2" applyNumberFormat="1" applyFont="1" applyFill="1" applyBorder="1" applyAlignment="1">
      <alignment horizontal="center" vertical="center"/>
    </xf>
    <xf numFmtId="0" fontId="9" fillId="0" borderId="2" xfId="2" applyNumberFormat="1" applyFont="1" applyFill="1" applyBorder="1" applyAlignment="1">
      <alignment horizontal="center" vertical="center"/>
    </xf>
    <xf numFmtId="0" fontId="10" fillId="0" borderId="24" xfId="0" applyFont="1" applyFill="1" applyBorder="1" applyAlignment="1">
      <alignment vertical="center"/>
    </xf>
    <xf numFmtId="0" fontId="9" fillId="0" borderId="15" xfId="0" applyFont="1" applyFill="1" applyBorder="1" applyAlignment="1">
      <alignment vertical="center" wrapText="1"/>
    </xf>
    <xf numFmtId="0" fontId="9" fillId="0" borderId="15" xfId="0" applyFont="1" applyFill="1" applyBorder="1" applyAlignment="1">
      <alignment horizontal="center" vertical="center" wrapText="1"/>
    </xf>
    <xf numFmtId="0" fontId="15" fillId="0" borderId="25" xfId="0" applyFont="1" applyFill="1" applyBorder="1" applyAlignment="1" applyProtection="1">
      <alignment vertical="center" wrapText="1"/>
    </xf>
    <xf numFmtId="9" fontId="15" fillId="0" borderId="0" xfId="0" applyNumberFormat="1" applyFont="1" applyFill="1" applyBorder="1" applyAlignment="1" applyProtection="1">
      <alignment horizontal="center" vertical="center" wrapText="1"/>
    </xf>
    <xf numFmtId="9" fontId="15" fillId="0" borderId="15" xfId="0" applyNumberFormat="1" applyFont="1" applyFill="1" applyBorder="1" applyAlignment="1" applyProtection="1">
      <alignment horizontal="center" vertical="center" wrapText="1"/>
    </xf>
    <xf numFmtId="0" fontId="9" fillId="0" borderId="15" xfId="0" applyFont="1" applyFill="1" applyBorder="1" applyAlignment="1">
      <alignment horizontal="left" vertical="center" wrapText="1"/>
    </xf>
    <xf numFmtId="0" fontId="15" fillId="0" borderId="25" xfId="0" applyFont="1" applyFill="1" applyBorder="1" applyAlignment="1" applyProtection="1">
      <alignment horizontal="left" vertical="center" wrapText="1"/>
    </xf>
    <xf numFmtId="0" fontId="10" fillId="9" borderId="24" xfId="0" applyFont="1" applyFill="1" applyBorder="1" applyAlignment="1">
      <alignment vertical="center"/>
    </xf>
    <xf numFmtId="0" fontId="9" fillId="9" borderId="15" xfId="12" applyFont="1" applyFill="1" applyBorder="1" applyAlignment="1">
      <alignment vertical="center"/>
    </xf>
    <xf numFmtId="0" fontId="10" fillId="9" borderId="25" xfId="0" applyFont="1" applyFill="1" applyBorder="1" applyAlignment="1">
      <alignment vertical="center"/>
    </xf>
    <xf numFmtId="0" fontId="10" fillId="0" borderId="24"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5" xfId="0" applyFont="1" applyFill="1" applyBorder="1" applyAlignment="1">
      <alignment horizontal="center" vertical="center"/>
    </xf>
    <xf numFmtId="0" fontId="10" fillId="0" borderId="25" xfId="0" applyFont="1" applyFill="1" applyBorder="1" applyAlignment="1">
      <alignment horizontal="left" vertical="center"/>
    </xf>
    <xf numFmtId="164" fontId="10" fillId="0" borderId="0" xfId="0" applyNumberFormat="1"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20" fillId="0" borderId="0" xfId="0" applyFont="1" applyFill="1" applyAlignment="1">
      <alignment vertical="center"/>
    </xf>
    <xf numFmtId="0" fontId="9" fillId="9" borderId="15" xfId="12" applyFont="1" applyFill="1" applyBorder="1" applyAlignment="1">
      <alignment horizontal="left" vertical="center"/>
    </xf>
    <xf numFmtId="9" fontId="10" fillId="14" borderId="15" xfId="10" applyFont="1" applyFill="1" applyBorder="1" applyAlignment="1">
      <alignment horizontal="left" vertical="center" wrapText="1"/>
    </xf>
    <xf numFmtId="0" fontId="10" fillId="0" borderId="0" xfId="0" applyFont="1" applyFill="1" applyBorder="1" applyAlignment="1">
      <alignment horizontal="center" vertical="center"/>
    </xf>
    <xf numFmtId="0" fontId="9" fillId="0" borderId="15" xfId="12" applyFont="1" applyFill="1" applyBorder="1" applyAlignment="1">
      <alignment horizontal="left" vertical="center"/>
    </xf>
    <xf numFmtId="9" fontId="15" fillId="0" borderId="15" xfId="0" applyNumberFormat="1" applyFont="1" applyFill="1" applyBorder="1" applyAlignment="1" applyProtection="1">
      <alignment horizontal="left" vertical="center" wrapText="1"/>
    </xf>
    <xf numFmtId="0" fontId="10" fillId="0" borderId="31" xfId="0" applyFont="1" applyFill="1" applyBorder="1" applyAlignment="1">
      <alignment horizontal="left" vertical="center"/>
    </xf>
    <xf numFmtId="0" fontId="9" fillId="0" borderId="32" xfId="12" applyFont="1" applyFill="1" applyBorder="1" applyAlignment="1">
      <alignment horizontal="left" vertical="center"/>
    </xf>
    <xf numFmtId="0" fontId="10" fillId="0" borderId="32" xfId="0" applyFont="1" applyFill="1" applyBorder="1" applyAlignment="1">
      <alignment horizontal="center" vertical="center"/>
    </xf>
    <xf numFmtId="0" fontId="9" fillId="0" borderId="32" xfId="0" applyFont="1" applyFill="1" applyBorder="1" applyAlignment="1">
      <alignment horizontal="left" vertical="center" wrapText="1"/>
    </xf>
    <xf numFmtId="0" fontId="10" fillId="0" borderId="33" xfId="0" applyFont="1" applyFill="1" applyBorder="1" applyAlignment="1">
      <alignment horizontal="left" vertical="center"/>
    </xf>
    <xf numFmtId="0" fontId="10" fillId="14" borderId="27" xfId="0" applyFont="1" applyFill="1" applyBorder="1" applyAlignment="1">
      <alignment horizontal="left" vertical="center"/>
    </xf>
    <xf numFmtId="0" fontId="9" fillId="14" borderId="28" xfId="0" applyFont="1" applyFill="1" applyBorder="1" applyAlignment="1">
      <alignment horizontal="left" vertical="center" wrapText="1"/>
    </xf>
    <xf numFmtId="0" fontId="10" fillId="14" borderId="28" xfId="0" applyFont="1" applyFill="1" applyBorder="1" applyAlignment="1">
      <alignment horizontal="center" vertical="center"/>
    </xf>
    <xf numFmtId="0" fontId="10" fillId="14" borderId="28" xfId="0" applyFont="1" applyFill="1" applyBorder="1" applyAlignment="1">
      <alignment horizontal="left" vertical="center"/>
    </xf>
    <xf numFmtId="0" fontId="9" fillId="14" borderId="29"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14" borderId="24" xfId="0" applyFont="1" applyFill="1" applyBorder="1" applyAlignment="1">
      <alignment horizontal="left" vertical="center"/>
    </xf>
    <xf numFmtId="0" fontId="9" fillId="14" borderId="15" xfId="0" applyFont="1" applyFill="1" applyBorder="1" applyAlignment="1">
      <alignment horizontal="left" vertical="center" wrapText="1"/>
    </xf>
    <xf numFmtId="0" fontId="10" fillId="14" borderId="15" xfId="0" applyFont="1" applyFill="1" applyBorder="1" applyAlignment="1">
      <alignment horizontal="center" vertical="center"/>
    </xf>
    <xf numFmtId="0" fontId="9" fillId="14" borderId="15" xfId="0" applyFont="1" applyFill="1" applyBorder="1" applyAlignment="1">
      <alignment horizontal="left" vertical="center"/>
    </xf>
    <xf numFmtId="0" fontId="9" fillId="14" borderId="25" xfId="0" applyFont="1" applyFill="1" applyBorder="1" applyAlignment="1">
      <alignment horizontal="left" vertical="center" wrapText="1"/>
    </xf>
    <xf numFmtId="0" fontId="9" fillId="14" borderId="15" xfId="0" applyFont="1" applyFill="1" applyBorder="1" applyAlignment="1">
      <alignment horizontal="center" vertical="center"/>
    </xf>
    <xf numFmtId="0" fontId="10" fillId="0" borderId="24" xfId="0" applyFont="1" applyBorder="1" applyAlignment="1">
      <alignment horizontal="left" vertical="center"/>
    </xf>
    <xf numFmtId="0" fontId="9" fillId="0" borderId="15" xfId="0" applyFont="1" applyBorder="1" applyAlignment="1">
      <alignment horizontal="left" vertical="center" wrapText="1"/>
    </xf>
    <xf numFmtId="0" fontId="10" fillId="0" borderId="15" xfId="0" applyFont="1" applyBorder="1" applyAlignment="1">
      <alignment horizontal="center" vertical="center"/>
    </xf>
    <xf numFmtId="0" fontId="10" fillId="0" borderId="15" xfId="0" applyFont="1" applyBorder="1" applyAlignment="1">
      <alignment horizontal="left" vertical="center"/>
    </xf>
    <xf numFmtId="0" fontId="9" fillId="4" borderId="25" xfId="0" applyFont="1" applyFill="1" applyBorder="1" applyAlignment="1">
      <alignment horizontal="left" vertical="center" wrapText="1"/>
    </xf>
    <xf numFmtId="9" fontId="9" fillId="4" borderId="15" xfId="10" applyFont="1" applyFill="1" applyBorder="1" applyAlignment="1">
      <alignment horizontal="left" vertical="center" wrapText="1"/>
    </xf>
    <xf numFmtId="0" fontId="9" fillId="0" borderId="0" xfId="0" applyFont="1" applyFill="1" applyBorder="1" applyAlignment="1">
      <alignment horizontal="center" vertical="center" wrapText="1"/>
    </xf>
    <xf numFmtId="0" fontId="9" fillId="0" borderId="15" xfId="0" applyFont="1" applyBorder="1" applyAlignment="1">
      <alignment horizontal="left" vertical="center"/>
    </xf>
    <xf numFmtId="0" fontId="9" fillId="0" borderId="15" xfId="0" applyFont="1" applyBorder="1" applyAlignment="1">
      <alignment horizontal="center" vertical="center"/>
    </xf>
    <xf numFmtId="0" fontId="10" fillId="14" borderId="15" xfId="0" applyFont="1" applyFill="1" applyBorder="1" applyAlignment="1">
      <alignment horizontal="left" vertical="center"/>
    </xf>
    <xf numFmtId="9" fontId="9" fillId="4" borderId="15" xfId="10" applyFont="1" applyFill="1" applyBorder="1" applyAlignment="1">
      <alignment horizontal="center" vertical="center" wrapText="1"/>
    </xf>
    <xf numFmtId="9" fontId="9" fillId="14" borderId="15" xfId="10" applyFont="1" applyFill="1" applyBorder="1" applyAlignment="1">
      <alignment horizontal="left" vertical="center" wrapText="1"/>
    </xf>
    <xf numFmtId="0" fontId="9" fillId="0" borderId="15" xfId="0" applyFont="1" applyFill="1" applyBorder="1" applyAlignment="1">
      <alignment horizontal="left" vertical="center"/>
    </xf>
    <xf numFmtId="0" fontId="9" fillId="0" borderId="25" xfId="0" applyFont="1" applyFill="1" applyBorder="1" applyAlignment="1">
      <alignment horizontal="left" vertical="center" wrapText="1"/>
    </xf>
    <xf numFmtId="0" fontId="9" fillId="0" borderId="15" xfId="0" applyFont="1" applyFill="1" applyBorder="1" applyAlignment="1">
      <alignment horizontal="center" vertical="center"/>
    </xf>
    <xf numFmtId="0" fontId="10" fillId="14" borderId="31" xfId="0" applyFont="1" applyFill="1" applyBorder="1" applyAlignment="1">
      <alignment horizontal="left" vertical="center"/>
    </xf>
    <xf numFmtId="0" fontId="9" fillId="14" borderId="32" xfId="0" applyFont="1" applyFill="1" applyBorder="1" applyAlignment="1">
      <alignment horizontal="left" vertical="center" wrapText="1"/>
    </xf>
    <xf numFmtId="0" fontId="9" fillId="14" borderId="32" xfId="0" applyFont="1" applyFill="1" applyBorder="1" applyAlignment="1">
      <alignment horizontal="center" vertical="center"/>
    </xf>
    <xf numFmtId="0" fontId="9" fillId="14" borderId="32" xfId="0" applyFont="1" applyFill="1" applyBorder="1" applyAlignment="1">
      <alignment horizontal="left" vertical="center"/>
    </xf>
    <xf numFmtId="0" fontId="9" fillId="14" borderId="33" xfId="0" applyFont="1" applyFill="1" applyBorder="1" applyAlignment="1">
      <alignment horizontal="left" vertical="center" wrapText="1"/>
    </xf>
    <xf numFmtId="0" fontId="10" fillId="0" borderId="0" xfId="0" applyFont="1" applyBorder="1" applyAlignment="1">
      <alignment vertical="center"/>
    </xf>
    <xf numFmtId="0" fontId="9" fillId="0" borderId="0" xfId="0" applyFont="1" applyBorder="1" applyAlignment="1">
      <alignment vertical="center" wrapText="1"/>
    </xf>
    <xf numFmtId="0" fontId="9" fillId="0" borderId="0" xfId="0" applyFont="1" applyBorder="1" applyAlignment="1">
      <alignment vertical="center"/>
    </xf>
    <xf numFmtId="0" fontId="17" fillId="0" borderId="0" xfId="0" applyFont="1" applyFill="1" applyBorder="1" applyAlignment="1">
      <alignment horizontal="right" vertical="center"/>
    </xf>
    <xf numFmtId="0" fontId="9" fillId="4" borderId="0" xfId="0" applyFont="1" applyFill="1" applyBorder="1" applyAlignment="1">
      <alignment horizontal="center" vertical="center" wrapText="1"/>
    </xf>
    <xf numFmtId="167" fontId="12" fillId="0" borderId="0" xfId="2" applyNumberFormat="1" applyFont="1" applyFill="1" applyBorder="1" applyAlignment="1">
      <alignment horizontal="right"/>
    </xf>
    <xf numFmtId="0" fontId="9" fillId="4" borderId="0" xfId="0" applyFont="1" applyFill="1" applyBorder="1" applyAlignment="1">
      <alignment vertical="center" wrapText="1"/>
    </xf>
    <xf numFmtId="0" fontId="9" fillId="0" borderId="0" xfId="0" applyFont="1" applyFill="1" applyBorder="1" applyAlignment="1">
      <alignment vertical="center" wrapText="1"/>
    </xf>
    <xf numFmtId="166" fontId="9" fillId="4" borderId="0" xfId="0" applyNumberFormat="1" applyFont="1" applyFill="1" applyBorder="1" applyAlignment="1">
      <alignment horizontal="center" vertical="center" wrapText="1"/>
    </xf>
    <xf numFmtId="43" fontId="9" fillId="4" borderId="0" xfId="0" applyNumberFormat="1" applyFont="1" applyFill="1" applyBorder="1" applyAlignment="1">
      <alignment vertical="center" wrapText="1"/>
    </xf>
    <xf numFmtId="43" fontId="10" fillId="0" borderId="0" xfId="0" applyNumberFormat="1" applyFont="1"/>
    <xf numFmtId="166" fontId="12" fillId="0" borderId="0" xfId="2" applyNumberFormat="1" applyFont="1" applyFill="1" applyBorder="1" applyAlignment="1">
      <alignment horizontal="right"/>
    </xf>
    <xf numFmtId="166" fontId="10" fillId="0" borderId="0" xfId="0" applyNumberFormat="1" applyFont="1" applyFill="1"/>
    <xf numFmtId="166" fontId="9" fillId="4" borderId="0" xfId="0" applyNumberFormat="1" applyFont="1" applyFill="1" applyBorder="1" applyAlignment="1">
      <alignment vertical="center" wrapText="1"/>
    </xf>
    <xf numFmtId="166" fontId="9" fillId="0" borderId="0" xfId="0" applyNumberFormat="1" applyFont="1" applyFill="1" applyBorder="1" applyAlignment="1">
      <alignment vertical="center" wrapText="1"/>
    </xf>
    <xf numFmtId="0" fontId="45" fillId="18" borderId="0" xfId="0" applyFont="1" applyFill="1" applyAlignment="1">
      <alignment horizontal="left" vertical="top"/>
    </xf>
    <xf numFmtId="0" fontId="45" fillId="18" borderId="0" xfId="0" applyFont="1" applyFill="1"/>
    <xf numFmtId="0" fontId="45" fillId="18" borderId="0" xfId="0" applyFont="1" applyFill="1" applyAlignment="1">
      <alignment vertical="center"/>
    </xf>
    <xf numFmtId="0" fontId="45" fillId="18" borderId="0" xfId="0" applyFont="1" applyFill="1" applyAlignment="1">
      <alignment horizontal="left" vertical="top" wrapText="1"/>
    </xf>
    <xf numFmtId="0" fontId="45" fillId="18" borderId="0" xfId="0" applyFont="1" applyFill="1" applyAlignment="1">
      <alignment horizontal="left" vertical="center" wrapText="1"/>
    </xf>
    <xf numFmtId="0" fontId="45" fillId="18" borderId="0" xfId="0" applyFont="1" applyFill="1" applyAlignment="1">
      <alignment horizontal="center" vertical="center"/>
    </xf>
    <xf numFmtId="0" fontId="35" fillId="18" borderId="0" xfId="0" applyFont="1" applyFill="1" applyAlignment="1">
      <alignment horizontal="left" vertical="center" wrapText="1"/>
    </xf>
    <xf numFmtId="0" fontId="45" fillId="18" borderId="0" xfId="0" applyFont="1" applyFill="1" applyAlignment="1">
      <alignment horizontal="right"/>
    </xf>
    <xf numFmtId="0" fontId="10" fillId="18" borderId="0" xfId="0" applyFont="1" applyFill="1" applyAlignment="1">
      <alignment vertical="top"/>
    </xf>
    <xf numFmtId="0" fontId="10" fillId="18" borderId="0" xfId="0" applyFont="1" applyFill="1"/>
    <xf numFmtId="0" fontId="10" fillId="0" borderId="0" xfId="0" applyFont="1" applyAlignment="1">
      <alignment vertical="center"/>
    </xf>
    <xf numFmtId="0" fontId="10" fillId="0" borderId="0" xfId="0" applyFont="1" applyAlignment="1">
      <alignment horizontal="right" vertical="top"/>
    </xf>
    <xf numFmtId="0" fontId="10" fillId="0" borderId="0" xfId="0" applyFont="1" applyFill="1" applyAlignment="1">
      <alignment horizontal="center" vertical="center"/>
    </xf>
    <xf numFmtId="0" fontId="20" fillId="9" borderId="0" xfId="0" applyFont="1" applyFill="1" applyAlignment="1">
      <alignment vertical="center"/>
    </xf>
    <xf numFmtId="0" fontId="20" fillId="9" borderId="0" xfId="0" applyFont="1" applyFill="1"/>
    <xf numFmtId="0" fontId="10" fillId="9" borderId="9" xfId="0" applyFont="1" applyFill="1" applyBorder="1" applyAlignment="1">
      <alignment horizontal="left" vertical="center"/>
    </xf>
    <xf numFmtId="0" fontId="10" fillId="9" borderId="10" xfId="0" applyFont="1" applyFill="1" applyBorder="1" applyAlignment="1">
      <alignment horizontal="center" vertical="center"/>
    </xf>
    <xf numFmtId="9" fontId="9" fillId="16" borderId="2" xfId="10" applyFont="1" applyFill="1" applyBorder="1" applyAlignment="1">
      <alignment horizontal="center" vertical="center"/>
    </xf>
    <xf numFmtId="0" fontId="10" fillId="9" borderId="15" xfId="0" applyFont="1" applyFill="1" applyBorder="1" applyAlignment="1">
      <alignment horizontal="left" vertical="center" wrapText="1"/>
    </xf>
    <xf numFmtId="0" fontId="10" fillId="9" borderId="15" xfId="0" applyFont="1" applyFill="1" applyBorder="1" applyAlignment="1">
      <alignment horizontal="left" vertical="center"/>
    </xf>
    <xf numFmtId="0" fontId="9" fillId="9" borderId="12" xfId="0" applyFont="1" applyFill="1" applyBorder="1" applyAlignment="1">
      <alignment horizontal="left" vertical="center" wrapText="1"/>
    </xf>
    <xf numFmtId="0" fontId="10" fillId="0" borderId="9" xfId="0" applyFont="1" applyFill="1" applyBorder="1" applyAlignment="1">
      <alignment horizontal="left" vertical="center"/>
    </xf>
    <xf numFmtId="9" fontId="9" fillId="0" borderId="15" xfId="10" applyFont="1" applyFill="1" applyBorder="1" applyAlignment="1">
      <alignment horizontal="left" vertical="center" wrapText="1"/>
    </xf>
    <xf numFmtId="0" fontId="10" fillId="0" borderId="15" xfId="0" applyFont="1" applyFill="1" applyBorder="1" applyAlignment="1">
      <alignment horizontal="left" vertical="center" wrapText="1"/>
    </xf>
    <xf numFmtId="0" fontId="39" fillId="0" borderId="0" xfId="0" applyFont="1" applyFill="1" applyBorder="1"/>
    <xf numFmtId="0" fontId="20" fillId="0" borderId="0" xfId="0" applyFont="1" applyFill="1" applyBorder="1" applyAlignment="1">
      <alignment vertical="center"/>
    </xf>
    <xf numFmtId="0" fontId="20" fillId="0" borderId="0" xfId="0" applyFont="1" applyFill="1" applyBorder="1"/>
    <xf numFmtId="0" fontId="10" fillId="0" borderId="0" xfId="0" applyFont="1" applyFill="1" applyBorder="1" applyAlignment="1">
      <alignment horizontal="left" vertical="center"/>
    </xf>
    <xf numFmtId="0" fontId="9" fillId="0" borderId="0" xfId="12" applyFont="1" applyFill="1" applyBorder="1" applyAlignment="1">
      <alignment horizontal="left" vertical="center"/>
    </xf>
    <xf numFmtId="0" fontId="9" fillId="0" borderId="0" xfId="0" applyFont="1" applyFill="1" applyBorder="1" applyAlignment="1">
      <alignment horizontal="left" vertical="center" wrapText="1"/>
    </xf>
    <xf numFmtId="164" fontId="12" fillId="0" borderId="0" xfId="10" applyNumberFormat="1" applyFont="1" applyFill="1" applyBorder="1" applyAlignment="1">
      <alignment horizontal="center" vertical="center"/>
    </xf>
    <xf numFmtId="9" fontId="9" fillId="0" borderId="0" xfId="10" applyFont="1" applyFill="1" applyBorder="1" applyAlignment="1">
      <alignment horizontal="right"/>
    </xf>
    <xf numFmtId="0" fontId="10" fillId="14" borderId="15" xfId="0" applyFont="1" applyFill="1" applyBorder="1" applyAlignment="1">
      <alignment vertical="center"/>
    </xf>
    <xf numFmtId="0" fontId="9" fillId="14" borderId="15" xfId="0" applyFont="1" applyFill="1" applyBorder="1" applyAlignment="1">
      <alignment vertical="center" wrapText="1"/>
    </xf>
    <xf numFmtId="0" fontId="9" fillId="14" borderId="9" xfId="0" applyFont="1" applyFill="1" applyBorder="1" applyAlignment="1">
      <alignment vertical="center" wrapText="1"/>
    </xf>
    <xf numFmtId="0" fontId="9" fillId="14" borderId="15" xfId="0" applyFont="1" applyFill="1" applyBorder="1" applyAlignment="1">
      <alignment vertical="center"/>
    </xf>
    <xf numFmtId="0" fontId="19" fillId="14" borderId="15" xfId="0" applyFont="1" applyFill="1" applyBorder="1" applyAlignment="1">
      <alignment horizontal="left" vertical="center" wrapText="1"/>
    </xf>
    <xf numFmtId="0" fontId="17" fillId="0" borderId="0" xfId="0" applyFont="1" applyAlignment="1">
      <alignment horizontal="right" vertical="center"/>
    </xf>
    <xf numFmtId="167" fontId="12" fillId="0" borderId="0" xfId="10" applyNumberFormat="1" applyFont="1" applyFill="1" applyBorder="1" applyAlignment="1">
      <alignment horizontal="right" vertical="center"/>
    </xf>
    <xf numFmtId="167" fontId="17" fillId="0" borderId="0" xfId="0" applyNumberFormat="1" applyFont="1" applyAlignment="1">
      <alignment horizontal="right"/>
    </xf>
    <xf numFmtId="43" fontId="17" fillId="0" borderId="0" xfId="0" applyNumberFormat="1" applyFont="1" applyAlignment="1">
      <alignment horizontal="right"/>
    </xf>
    <xf numFmtId="0" fontId="45" fillId="12" borderId="0" xfId="0" applyFont="1" applyFill="1" applyAlignment="1">
      <alignment horizontal="left" vertical="top"/>
    </xf>
    <xf numFmtId="0" fontId="45" fillId="12" borderId="0" xfId="0" applyFont="1" applyFill="1" applyAlignment="1">
      <alignment vertical="center"/>
    </xf>
    <xf numFmtId="0" fontId="45" fillId="12" borderId="0" xfId="0" applyFont="1" applyFill="1" applyAlignment="1">
      <alignment horizontal="left" vertical="top" wrapText="1"/>
    </xf>
    <xf numFmtId="0" fontId="45" fillId="12" borderId="0" xfId="0" applyFont="1" applyFill="1" applyAlignment="1">
      <alignment horizontal="left" vertical="center" wrapText="1"/>
    </xf>
    <xf numFmtId="0" fontId="45" fillId="12" borderId="0" xfId="0" applyFont="1" applyFill="1" applyAlignment="1">
      <alignment horizontal="center" vertical="center"/>
    </xf>
    <xf numFmtId="0" fontId="35" fillId="12" borderId="0" xfId="0" applyFont="1" applyFill="1" applyAlignment="1">
      <alignment horizontal="left" vertical="center" wrapText="1"/>
    </xf>
    <xf numFmtId="0" fontId="45" fillId="12" borderId="0" xfId="0" applyFont="1" applyFill="1" applyAlignment="1">
      <alignment horizontal="right"/>
    </xf>
    <xf numFmtId="0" fontId="10" fillId="12" borderId="0" xfId="0" applyFont="1" applyFill="1" applyAlignment="1">
      <alignment vertical="top"/>
    </xf>
    <xf numFmtId="0" fontId="10" fillId="12" borderId="0" xfId="0" applyFont="1" applyFill="1"/>
    <xf numFmtId="0" fontId="20" fillId="14" borderId="0" xfId="0" applyFont="1" applyFill="1" applyAlignment="1">
      <alignment vertical="center"/>
    </xf>
    <xf numFmtId="0" fontId="20" fillId="14" borderId="0" xfId="0" applyFont="1" applyFill="1"/>
    <xf numFmtId="0" fontId="9" fillId="8" borderId="2" xfId="2" applyNumberFormat="1" applyFont="1" applyFill="1" applyBorder="1" applyAlignment="1">
      <alignment horizontal="center" vertical="center"/>
    </xf>
    <xf numFmtId="9" fontId="9" fillId="8" borderId="2" xfId="10" applyFont="1" applyFill="1" applyBorder="1" applyAlignment="1">
      <alignment horizontal="center" vertical="center"/>
    </xf>
    <xf numFmtId="0" fontId="10" fillId="0" borderId="15" xfId="0" applyFont="1" applyFill="1" applyBorder="1" applyAlignment="1">
      <alignment horizontal="center" vertical="center" wrapText="1"/>
    </xf>
    <xf numFmtId="0" fontId="10" fillId="9" borderId="15" xfId="0" applyFont="1" applyFill="1" applyBorder="1" applyAlignment="1">
      <alignment vertical="center" wrapText="1"/>
    </xf>
    <xf numFmtId="9" fontId="15" fillId="0" borderId="9" xfId="0" applyNumberFormat="1" applyFont="1" applyFill="1" applyBorder="1" applyAlignment="1" applyProtection="1">
      <alignment horizontal="left" vertical="center" wrapText="1"/>
    </xf>
    <xf numFmtId="9" fontId="15" fillId="0" borderId="15" xfId="0" applyNumberFormat="1" applyFont="1" applyFill="1" applyBorder="1" applyAlignment="1" applyProtection="1">
      <alignment vertical="center" wrapText="1"/>
    </xf>
    <xf numFmtId="0" fontId="15" fillId="0" borderId="15" xfId="0" applyFont="1" applyFill="1" applyBorder="1" applyAlignment="1" applyProtection="1">
      <alignment vertical="center" wrapText="1"/>
    </xf>
    <xf numFmtId="164" fontId="15" fillId="0" borderId="15" xfId="0" applyNumberFormat="1" applyFont="1" applyFill="1" applyBorder="1" applyAlignment="1">
      <alignment horizontal="left" vertical="center" wrapText="1"/>
    </xf>
    <xf numFmtId="9" fontId="15" fillId="8" borderId="15" xfId="0" applyNumberFormat="1" applyFont="1" applyFill="1" applyBorder="1" applyAlignment="1" applyProtection="1">
      <alignment vertical="center" wrapText="1"/>
    </xf>
    <xf numFmtId="0" fontId="9" fillId="8" borderId="15" xfId="0" applyFont="1" applyFill="1" applyBorder="1" applyAlignment="1">
      <alignment horizontal="left" vertical="center" wrapText="1"/>
    </xf>
    <xf numFmtId="164" fontId="15" fillId="0" borderId="15" xfId="0" applyNumberFormat="1" applyFont="1" applyFill="1" applyBorder="1" applyAlignment="1">
      <alignment horizontal="center" vertical="center" wrapText="1"/>
    </xf>
    <xf numFmtId="164" fontId="15" fillId="8" borderId="15" xfId="0" applyNumberFormat="1" applyFont="1" applyFill="1" applyBorder="1" applyAlignment="1">
      <alignment horizontal="left" vertical="center" wrapText="1"/>
    </xf>
    <xf numFmtId="0" fontId="10" fillId="0" borderId="0" xfId="0" applyFont="1" applyFill="1" applyBorder="1" applyAlignment="1">
      <alignment vertical="center"/>
    </xf>
    <xf numFmtId="164" fontId="12" fillId="0" borderId="0" xfId="10" applyNumberFormat="1" applyFont="1" applyFill="1" applyBorder="1" applyAlignment="1">
      <alignment horizontal="right"/>
    </xf>
    <xf numFmtId="0" fontId="10" fillId="0" borderId="15" xfId="0" applyFont="1" applyFill="1" applyBorder="1" applyAlignment="1">
      <alignment vertical="center"/>
    </xf>
    <xf numFmtId="0" fontId="9" fillId="0" borderId="15" xfId="0" applyFont="1" applyFill="1" applyBorder="1" applyAlignment="1">
      <alignment vertical="center"/>
    </xf>
    <xf numFmtId="0" fontId="9" fillId="0" borderId="9" xfId="0" applyFont="1" applyFill="1" applyBorder="1" applyAlignment="1">
      <alignment vertical="center" wrapText="1"/>
    </xf>
    <xf numFmtId="0" fontId="9" fillId="4" borderId="15" xfId="0" applyFont="1" applyFill="1" applyBorder="1" applyAlignment="1">
      <alignment vertical="center" wrapText="1"/>
    </xf>
    <xf numFmtId="0" fontId="10" fillId="14" borderId="15" xfId="0" applyFont="1" applyFill="1" applyBorder="1"/>
    <xf numFmtId="0" fontId="10" fillId="0" borderId="15" xfId="0" applyFont="1" applyBorder="1" applyAlignment="1">
      <alignment vertical="center"/>
    </xf>
    <xf numFmtId="0" fontId="9" fillId="0" borderId="15" xfId="0" applyFont="1" applyBorder="1" applyAlignment="1">
      <alignment vertical="center" wrapText="1"/>
    </xf>
    <xf numFmtId="0" fontId="9" fillId="4" borderId="9" xfId="0" applyFont="1" applyFill="1" applyBorder="1" applyAlignment="1">
      <alignment vertical="center" wrapText="1"/>
    </xf>
    <xf numFmtId="0" fontId="9" fillId="4" borderId="15" xfId="0" applyFont="1" applyFill="1" applyBorder="1" applyAlignment="1">
      <alignment horizontal="left" vertical="center" wrapText="1"/>
    </xf>
    <xf numFmtId="0" fontId="10" fillId="8" borderId="15" xfId="0" applyFont="1" applyFill="1" applyBorder="1" applyAlignment="1">
      <alignment vertical="center"/>
    </xf>
    <xf numFmtId="0" fontId="9" fillId="8" borderId="15" xfId="0" applyFont="1" applyFill="1" applyBorder="1" applyAlignment="1">
      <alignment vertical="center" wrapText="1"/>
    </xf>
    <xf numFmtId="0" fontId="10" fillId="8" borderId="15" xfId="0" applyFont="1" applyFill="1" applyBorder="1"/>
    <xf numFmtId="0" fontId="9" fillId="8" borderId="9" xfId="0" applyFont="1" applyFill="1" applyBorder="1" applyAlignment="1">
      <alignment vertical="center" wrapText="1"/>
    </xf>
    <xf numFmtId="0" fontId="10" fillId="8" borderId="15" xfId="0" applyFont="1" applyFill="1" applyBorder="1" applyAlignment="1">
      <alignment horizontal="left" vertical="center"/>
    </xf>
    <xf numFmtId="0" fontId="9" fillId="8" borderId="15" xfId="0" applyFont="1" applyFill="1" applyBorder="1" applyAlignment="1">
      <alignment vertical="center"/>
    </xf>
    <xf numFmtId="0" fontId="9" fillId="0" borderId="15" xfId="0" applyFont="1" applyFill="1" applyBorder="1"/>
    <xf numFmtId="0" fontId="10" fillId="0" borderId="15" xfId="0" applyFont="1" applyFill="1" applyBorder="1" applyAlignment="1">
      <alignment vertical="center" wrapText="1"/>
    </xf>
    <xf numFmtId="0" fontId="10" fillId="14" borderId="15" xfId="0" applyFont="1" applyFill="1" applyBorder="1" applyAlignment="1">
      <alignment vertical="center" wrapText="1"/>
    </xf>
    <xf numFmtId="0" fontId="10" fillId="9" borderId="15" xfId="0" applyFont="1" applyFill="1" applyBorder="1" applyAlignment="1">
      <alignment vertical="center"/>
    </xf>
    <xf numFmtId="0" fontId="9" fillId="9" borderId="9" xfId="0" applyFont="1" applyFill="1" applyBorder="1" applyAlignment="1">
      <alignment vertical="center" wrapText="1"/>
    </xf>
    <xf numFmtId="0" fontId="9" fillId="14" borderId="7" xfId="0" applyFont="1" applyFill="1" applyBorder="1" applyAlignment="1">
      <alignment horizontal="left" vertical="center" wrapText="1"/>
    </xf>
    <xf numFmtId="0" fontId="9" fillId="9" borderId="15" xfId="0" applyFont="1" applyFill="1" applyBorder="1" applyAlignment="1">
      <alignment vertical="center"/>
    </xf>
    <xf numFmtId="0" fontId="9" fillId="14" borderId="6" xfId="0" applyFont="1" applyFill="1" applyBorder="1" applyAlignment="1">
      <alignment horizontal="left" vertical="center" wrapText="1"/>
    </xf>
    <xf numFmtId="0" fontId="9" fillId="9" borderId="15" xfId="0" applyFont="1" applyFill="1" applyBorder="1" applyAlignment="1">
      <alignment horizontal="center" vertical="center"/>
    </xf>
    <xf numFmtId="0" fontId="9" fillId="14" borderId="8" xfId="0" applyFont="1" applyFill="1" applyBorder="1" applyAlignment="1">
      <alignment horizontal="left" vertical="center" wrapText="1"/>
    </xf>
    <xf numFmtId="0" fontId="9" fillId="0" borderId="0" xfId="0" applyFont="1" applyFill="1" applyBorder="1" applyAlignment="1">
      <alignment vertical="center"/>
    </xf>
    <xf numFmtId="164" fontId="12" fillId="0" borderId="0" xfId="2" applyNumberFormat="1" applyFont="1" applyFill="1" applyBorder="1" applyAlignment="1">
      <alignment horizontal="right"/>
    </xf>
    <xf numFmtId="1" fontId="12" fillId="0" borderId="0" xfId="2" applyNumberFormat="1" applyFont="1" applyFill="1" applyBorder="1" applyAlignment="1">
      <alignment horizontal="right"/>
    </xf>
    <xf numFmtId="167" fontId="9" fillId="0" borderId="0" xfId="2" applyNumberFormat="1" applyFont="1" applyFill="1" applyBorder="1" applyAlignment="1">
      <alignment horizontal="right"/>
    </xf>
    <xf numFmtId="0" fontId="10" fillId="0" borderId="0" xfId="0" applyFont="1" applyAlignment="1">
      <alignment horizontal="right"/>
    </xf>
    <xf numFmtId="0" fontId="10" fillId="14" borderId="9" xfId="0" applyFont="1" applyFill="1" applyBorder="1" applyAlignment="1">
      <alignment horizontal="left" vertical="center"/>
    </xf>
    <xf numFmtId="0" fontId="10" fillId="14" borderId="11" xfId="0" applyFont="1" applyFill="1" applyBorder="1" applyAlignment="1">
      <alignment vertical="center" wrapText="1"/>
    </xf>
    <xf numFmtId="0" fontId="15" fillId="0" borderId="9"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9" fillId="14" borderId="15" xfId="12" applyFont="1" applyFill="1" applyBorder="1" applyAlignment="1">
      <alignment horizontal="left" vertical="center"/>
    </xf>
    <xf numFmtId="0" fontId="10" fillId="14" borderId="15"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9" fillId="14" borderId="9" xfId="0" applyFont="1" applyFill="1" applyBorder="1" applyAlignment="1">
      <alignment horizontal="left" vertical="center" wrapText="1"/>
    </xf>
    <xf numFmtId="3" fontId="9" fillId="0" borderId="2" xfId="2" applyNumberFormat="1" applyFont="1" applyFill="1" applyBorder="1" applyAlignment="1">
      <alignment horizontal="center" vertical="center"/>
    </xf>
    <xf numFmtId="0" fontId="9" fillId="4" borderId="9" xfId="0" applyFont="1" applyFill="1" applyBorder="1" applyAlignment="1">
      <alignment horizontal="left" vertical="center" wrapText="1"/>
    </xf>
    <xf numFmtId="9" fontId="10" fillId="0" borderId="0" xfId="10" applyFont="1" applyFill="1"/>
    <xf numFmtId="0" fontId="45" fillId="0" borderId="0" xfId="0" applyFont="1" applyFill="1" applyAlignment="1">
      <alignment horizontal="center" vertical="center"/>
    </xf>
    <xf numFmtId="0" fontId="9" fillId="14" borderId="15" xfId="0" applyFont="1" applyFill="1" applyBorder="1"/>
    <xf numFmtId="0" fontId="23" fillId="0" borderId="0" xfId="0" applyFont="1" applyFill="1" applyBorder="1" applyAlignment="1">
      <alignment horizontal="center" vertical="center" wrapText="1"/>
    </xf>
    <xf numFmtId="0" fontId="10" fillId="0" borderId="15" xfId="0" applyFont="1" applyFill="1" applyBorder="1"/>
    <xf numFmtId="0" fontId="10" fillId="0" borderId="9" xfId="0" applyFont="1" applyFill="1" applyBorder="1" applyAlignment="1">
      <alignment vertical="center" wrapText="1"/>
    </xf>
    <xf numFmtId="0" fontId="19" fillId="0" borderId="15" xfId="0" applyFont="1" applyFill="1" applyBorder="1" applyAlignment="1">
      <alignment vertical="center" wrapText="1"/>
    </xf>
    <xf numFmtId="0" fontId="10" fillId="14" borderId="9" xfId="0" applyFont="1" applyFill="1" applyBorder="1" applyAlignment="1">
      <alignment vertical="center" wrapText="1"/>
    </xf>
    <xf numFmtId="0" fontId="10" fillId="0" borderId="15" xfId="0" applyFont="1" applyBorder="1" applyAlignment="1">
      <alignment horizontal="left"/>
    </xf>
    <xf numFmtId="0" fontId="20" fillId="0" borderId="0" xfId="0" applyFont="1" applyFill="1" applyBorder="1" applyAlignment="1">
      <alignment horizontal="center" vertical="center" wrapText="1"/>
    </xf>
    <xf numFmtId="0" fontId="20" fillId="14" borderId="15" xfId="0" applyFont="1" applyFill="1" applyBorder="1" applyAlignment="1">
      <alignment vertical="center" wrapText="1"/>
    </xf>
    <xf numFmtId="0" fontId="10" fillId="0" borderId="12" xfId="0" applyFont="1" applyFill="1" applyBorder="1" applyAlignment="1">
      <alignment horizontal="left" vertical="center" wrapText="1"/>
    </xf>
    <xf numFmtId="0" fontId="10" fillId="0" borderId="0" xfId="0" applyFont="1" applyFill="1" applyAlignment="1">
      <alignment vertical="center"/>
    </xf>
    <xf numFmtId="164" fontId="17" fillId="0" borderId="0" xfId="0" applyNumberFormat="1" applyFont="1" applyAlignment="1">
      <alignment horizontal="right"/>
    </xf>
    <xf numFmtId="0" fontId="39" fillId="0" borderId="0" xfId="0" applyFont="1" applyAlignment="1">
      <alignment horizontal="left" vertical="center"/>
    </xf>
    <xf numFmtId="0" fontId="45" fillId="15" borderId="0" xfId="0" applyFont="1" applyFill="1" applyAlignment="1">
      <alignment horizontal="left" vertical="center"/>
    </xf>
    <xf numFmtId="0" fontId="45" fillId="15" borderId="0" xfId="0" applyFont="1" applyFill="1" applyAlignment="1">
      <alignment horizontal="left" vertical="top"/>
    </xf>
    <xf numFmtId="0" fontId="10" fillId="15" borderId="0" xfId="0" applyFont="1" applyFill="1" applyAlignment="1">
      <alignment horizontal="left" vertical="center"/>
    </xf>
    <xf numFmtId="0" fontId="35" fillId="15" borderId="0" xfId="0" applyFont="1" applyFill="1" applyAlignment="1">
      <alignment horizontal="left" vertical="top" wrapText="1"/>
    </xf>
    <xf numFmtId="0" fontId="35" fillId="0" borderId="0" xfId="0" applyFont="1" applyFill="1" applyAlignment="1">
      <alignment horizontal="left" vertical="center"/>
    </xf>
    <xf numFmtId="0" fontId="10" fillId="0" borderId="0" xfId="0" applyFont="1" applyFill="1" applyAlignment="1">
      <alignment horizontal="left" vertical="center"/>
    </xf>
    <xf numFmtId="0" fontId="35" fillId="15" borderId="0" xfId="0" applyFont="1" applyFill="1" applyAlignment="1">
      <alignment vertical="top" wrapText="1"/>
    </xf>
    <xf numFmtId="0" fontId="35" fillId="15" borderId="0" xfId="0" applyFont="1" applyFill="1" applyAlignment="1">
      <alignment vertical="top"/>
    </xf>
    <xf numFmtId="0" fontId="10" fillId="15" borderId="0" xfId="0" applyFont="1" applyFill="1" applyAlignment="1">
      <alignment horizontal="right" vertical="center"/>
    </xf>
    <xf numFmtId="0" fontId="10" fillId="0" borderId="0" xfId="0" applyFont="1" applyAlignment="1">
      <alignment horizontal="left" vertical="center"/>
    </xf>
    <xf numFmtId="0" fontId="20" fillId="0" borderId="0" xfId="0" applyFont="1" applyFill="1" applyBorder="1" applyAlignment="1">
      <alignment horizontal="center" vertical="center"/>
    </xf>
    <xf numFmtId="0" fontId="10" fillId="0" borderId="0" xfId="0" applyFont="1" applyBorder="1" applyAlignment="1">
      <alignment horizontal="left" vertical="center"/>
    </xf>
    <xf numFmtId="0" fontId="20" fillId="9" borderId="15" xfId="0" applyFont="1" applyFill="1" applyBorder="1" applyAlignment="1">
      <alignment horizontal="left" vertical="center"/>
    </xf>
    <xf numFmtId="0" fontId="10" fillId="0" borderId="0" xfId="0" applyFont="1" applyBorder="1" applyAlignment="1">
      <alignment vertical="top"/>
    </xf>
    <xf numFmtId="9" fontId="15" fillId="4" borderId="0" xfId="0" applyNumberFormat="1" applyFont="1" applyFill="1" applyBorder="1" applyAlignment="1" applyProtection="1">
      <alignment horizontal="center" vertical="center" wrapText="1"/>
    </xf>
    <xf numFmtId="9" fontId="15" fillId="0" borderId="9" xfId="0" applyNumberFormat="1" applyFont="1" applyFill="1" applyBorder="1" applyAlignment="1" applyProtection="1">
      <alignment vertical="center" wrapText="1"/>
    </xf>
    <xf numFmtId="9" fontId="15" fillId="0" borderId="11" xfId="0" applyNumberFormat="1" applyFont="1" applyFill="1" applyBorder="1" applyAlignment="1" applyProtection="1">
      <alignment vertical="center" wrapText="1"/>
    </xf>
    <xf numFmtId="164" fontId="15" fillId="9" borderId="15" xfId="0" applyNumberFormat="1" applyFont="1" applyFill="1" applyBorder="1" applyAlignment="1">
      <alignment horizontal="left" vertical="center" wrapText="1"/>
    </xf>
    <xf numFmtId="164" fontId="15" fillId="0" borderId="0" xfId="0" applyNumberFormat="1" applyFont="1" applyFill="1" applyBorder="1" applyAlignment="1">
      <alignment vertical="center" wrapText="1"/>
    </xf>
    <xf numFmtId="164" fontId="15" fillId="9" borderId="15" xfId="0" applyNumberFormat="1" applyFont="1" applyFill="1" applyBorder="1" applyAlignment="1">
      <alignment vertical="center" wrapText="1"/>
    </xf>
    <xf numFmtId="164" fontId="15" fillId="4" borderId="0" xfId="0" applyNumberFormat="1" applyFont="1" applyFill="1" applyBorder="1" applyAlignment="1">
      <alignment vertical="center" wrapText="1"/>
    </xf>
    <xf numFmtId="0" fontId="15" fillId="9" borderId="15" xfId="0" applyFont="1" applyFill="1" applyBorder="1" applyAlignment="1">
      <alignment vertical="center" wrapText="1"/>
    </xf>
    <xf numFmtId="0" fontId="20" fillId="0" borderId="15" xfId="0" applyFont="1" applyFill="1" applyBorder="1" applyAlignment="1">
      <alignment horizontal="left" vertical="center"/>
    </xf>
    <xf numFmtId="0" fontId="20" fillId="0" borderId="15" xfId="0" applyFont="1" applyFill="1" applyBorder="1" applyAlignment="1">
      <alignment vertical="center"/>
    </xf>
    <xf numFmtId="0" fontId="20" fillId="0" borderId="0" xfId="0" applyFont="1" applyFill="1" applyBorder="1" applyAlignment="1">
      <alignment horizontal="left" vertical="center"/>
    </xf>
    <xf numFmtId="9" fontId="10" fillId="0" borderId="0" xfId="10" applyFont="1" applyFill="1" applyBorder="1" applyAlignment="1">
      <alignment horizontal="center" vertical="center"/>
    </xf>
    <xf numFmtId="0" fontId="17" fillId="0" borderId="0" xfId="0" applyFont="1" applyFill="1" applyBorder="1" applyAlignment="1">
      <alignment horizontal="left" vertical="center"/>
    </xf>
    <xf numFmtId="0" fontId="20" fillId="0" borderId="0" xfId="0" applyNumberFormat="1" applyFont="1" applyFill="1" applyBorder="1" applyAlignment="1">
      <alignment horizontal="right" vertical="center"/>
    </xf>
    <xf numFmtId="0" fontId="10" fillId="0" borderId="0" xfId="0" applyFont="1" applyFill="1" applyAlignment="1">
      <alignment horizontal="center" wrapText="1"/>
    </xf>
    <xf numFmtId="3" fontId="12" fillId="0" borderId="0" xfId="10" applyNumberFormat="1" applyFont="1" applyFill="1" applyBorder="1" applyAlignment="1">
      <alignment horizontal="right"/>
    </xf>
    <xf numFmtId="0" fontId="45" fillId="13" borderId="0" xfId="0" applyFont="1" applyFill="1"/>
    <xf numFmtId="0" fontId="45" fillId="15" borderId="0" xfId="0" applyFont="1" applyFill="1" applyAlignment="1">
      <alignment vertical="top"/>
    </xf>
    <xf numFmtId="0" fontId="10" fillId="15" borderId="0" xfId="0" applyFont="1" applyFill="1" applyAlignment="1">
      <alignment vertical="center" wrapText="1"/>
    </xf>
    <xf numFmtId="0" fontId="10" fillId="15" borderId="0" xfId="0" applyFont="1" applyFill="1" applyAlignment="1">
      <alignment vertical="center"/>
    </xf>
    <xf numFmtId="0" fontId="9" fillId="9" borderId="15" xfId="0" applyFont="1" applyFill="1" applyBorder="1" applyAlignment="1">
      <alignment horizontal="left" vertical="center"/>
    </xf>
    <xf numFmtId="0" fontId="9" fillId="9" borderId="9" xfId="0" applyFont="1" applyFill="1" applyBorder="1" applyAlignment="1">
      <alignment horizontal="left" vertical="center"/>
    </xf>
    <xf numFmtId="0" fontId="10" fillId="9" borderId="11" xfId="0" applyFont="1" applyFill="1" applyBorder="1" applyAlignment="1">
      <alignment vertical="center" wrapText="1"/>
    </xf>
    <xf numFmtId="0" fontId="20" fillId="0" borderId="15" xfId="0" applyFont="1" applyFill="1" applyBorder="1" applyAlignment="1">
      <alignment horizontal="left" vertical="center" wrapText="1"/>
    </xf>
    <xf numFmtId="0" fontId="20" fillId="0" borderId="15" xfId="0" applyFont="1" applyFill="1" applyBorder="1" applyAlignment="1">
      <alignment vertical="center" wrapText="1"/>
    </xf>
    <xf numFmtId="0" fontId="20" fillId="0" borderId="0" xfId="0" applyFont="1" applyFill="1" applyBorder="1" applyAlignment="1">
      <alignment horizontal="left" vertical="center" wrapText="1"/>
    </xf>
    <xf numFmtId="0" fontId="9" fillId="0" borderId="9" xfId="0" applyFont="1" applyFill="1" applyBorder="1" applyAlignment="1">
      <alignment horizontal="left" vertical="center" wrapText="1"/>
    </xf>
    <xf numFmtId="9" fontId="10" fillId="0" borderId="0" xfId="10" applyFont="1" applyFill="1" applyAlignment="1">
      <alignment horizontal="center" vertical="center"/>
    </xf>
    <xf numFmtId="169" fontId="12" fillId="0" borderId="0" xfId="10" applyNumberFormat="1" applyFont="1" applyFill="1" applyBorder="1" applyAlignment="1">
      <alignment horizontal="right"/>
    </xf>
    <xf numFmtId="172" fontId="12" fillId="0" borderId="0" xfId="10" applyNumberFormat="1" applyFont="1" applyFill="1" applyBorder="1" applyAlignment="1">
      <alignment horizontal="right"/>
    </xf>
    <xf numFmtId="0" fontId="11" fillId="0" borderId="0" xfId="10" applyNumberFormat="1" applyFont="1" applyFill="1" applyBorder="1" applyAlignment="1">
      <alignment horizontal="right"/>
    </xf>
    <xf numFmtId="0" fontId="9" fillId="4" borderId="28" xfId="0" applyFont="1" applyFill="1" applyBorder="1" applyAlignment="1">
      <alignment horizontal="left" vertical="center" wrapText="1"/>
    </xf>
    <xf numFmtId="0" fontId="9" fillId="0" borderId="9" xfId="0" applyFont="1" applyFill="1" applyBorder="1" applyAlignment="1">
      <alignment horizontal="left" vertical="center"/>
    </xf>
    <xf numFmtId="0" fontId="10" fillId="0" borderId="11" xfId="0" applyFont="1" applyFill="1" applyBorder="1" applyAlignment="1">
      <alignment vertical="center" wrapText="1"/>
    </xf>
    <xf numFmtId="0" fontId="10" fillId="0" borderId="0" xfId="0" applyFont="1" applyFill="1" applyAlignment="1">
      <alignment horizontal="center"/>
    </xf>
    <xf numFmtId="0" fontId="10" fillId="9" borderId="11" xfId="0" applyFont="1" applyFill="1" applyBorder="1" applyAlignment="1">
      <alignment horizontal="left" wrapText="1"/>
    </xf>
    <xf numFmtId="0" fontId="10" fillId="9" borderId="15" xfId="0" applyFont="1" applyFill="1" applyBorder="1" applyAlignment="1">
      <alignment horizontal="left"/>
    </xf>
    <xf numFmtId="0" fontId="10" fillId="0" borderId="0" xfId="0" applyFont="1" applyFill="1" applyBorder="1" applyAlignment="1">
      <alignment horizontal="center"/>
    </xf>
    <xf numFmtId="0" fontId="10" fillId="0" borderId="0" xfId="0" applyFont="1" applyFill="1" applyBorder="1" applyAlignment="1">
      <alignment horizontal="left"/>
    </xf>
    <xf numFmtId="0" fontId="9" fillId="9" borderId="9" xfId="0" applyFont="1" applyFill="1" applyBorder="1" applyAlignment="1">
      <alignment horizontal="left" vertical="center" wrapText="1"/>
    </xf>
    <xf numFmtId="173" fontId="10" fillId="0" borderId="0" xfId="0" applyNumberFormat="1" applyFont="1"/>
    <xf numFmtId="170" fontId="9" fillId="0" borderId="0" xfId="0" applyNumberFormat="1" applyFont="1" applyBorder="1" applyAlignment="1">
      <alignment vertical="center" wrapText="1"/>
    </xf>
    <xf numFmtId="174" fontId="10" fillId="0" borderId="0" xfId="0" applyNumberFormat="1" applyFont="1"/>
    <xf numFmtId="175" fontId="10" fillId="0" borderId="0" xfId="0" applyNumberFormat="1" applyFont="1"/>
    <xf numFmtId="170" fontId="17" fillId="11" borderId="0" xfId="0" applyNumberFormat="1" applyFont="1" applyFill="1"/>
    <xf numFmtId="3" fontId="10" fillId="0" borderId="0" xfId="0" applyNumberFormat="1" applyFont="1"/>
    <xf numFmtId="170" fontId="10" fillId="0" borderId="0" xfId="0" applyNumberFormat="1" applyFont="1"/>
    <xf numFmtId="3" fontId="9" fillId="0" borderId="0" xfId="0" applyNumberFormat="1" applyFont="1" applyBorder="1"/>
    <xf numFmtId="170" fontId="9" fillId="0" borderId="0" xfId="0" applyNumberFormat="1" applyFont="1" applyBorder="1"/>
    <xf numFmtId="170" fontId="9" fillId="0" borderId="0" xfId="0" applyNumberFormat="1" applyFont="1"/>
    <xf numFmtId="170" fontId="10" fillId="0" borderId="16" xfId="0" applyNumberFormat="1" applyFont="1" applyBorder="1"/>
    <xf numFmtId="170" fontId="9" fillId="0" borderId="16" xfId="0" applyNumberFormat="1" applyFont="1" applyBorder="1"/>
    <xf numFmtId="170" fontId="12" fillId="10" borderId="0" xfId="0" applyNumberFormat="1" applyFont="1" applyFill="1"/>
    <xf numFmtId="166" fontId="10" fillId="0" borderId="0" xfId="0" applyNumberFormat="1" applyFont="1"/>
    <xf numFmtId="170" fontId="2" fillId="0" borderId="0" xfId="0" applyNumberFormat="1" applyFont="1"/>
    <xf numFmtId="170" fontId="4" fillId="0" borderId="0" xfId="0" applyNumberFormat="1" applyFont="1"/>
    <xf numFmtId="170" fontId="16" fillId="0" borderId="0" xfId="0" applyNumberFormat="1" applyFont="1"/>
    <xf numFmtId="0" fontId="10" fillId="0" borderId="16" xfId="0" applyFont="1" applyBorder="1"/>
    <xf numFmtId="3" fontId="20" fillId="0" borderId="0" xfId="0" applyNumberFormat="1" applyFont="1"/>
    <xf numFmtId="166" fontId="10" fillId="0" borderId="16" xfId="0" applyNumberFormat="1" applyFont="1" applyBorder="1"/>
    <xf numFmtId="43" fontId="10" fillId="0" borderId="0" xfId="2" applyFont="1"/>
    <xf numFmtId="0" fontId="9" fillId="14" borderId="15" xfId="0" applyFont="1" applyFill="1" applyBorder="1" applyAlignment="1">
      <alignment horizontal="left" vertical="center" wrapText="1"/>
    </xf>
    <xf numFmtId="1" fontId="10" fillId="0" borderId="0" xfId="0" applyNumberFormat="1" applyFont="1" applyFill="1"/>
    <xf numFmtId="2" fontId="10" fillId="0" borderId="0" xfId="0" applyNumberFormat="1" applyFont="1" applyFill="1"/>
    <xf numFmtId="170" fontId="19" fillId="0" borderId="0" xfId="0" applyNumberFormat="1" applyFont="1"/>
    <xf numFmtId="166" fontId="19" fillId="0" borderId="0" xfId="0" applyNumberFormat="1" applyFont="1"/>
    <xf numFmtId="3" fontId="24" fillId="0" borderId="0" xfId="0" applyNumberFormat="1" applyFont="1" applyFill="1" applyBorder="1"/>
    <xf numFmtId="0" fontId="9" fillId="0" borderId="15" xfId="0" applyFont="1" applyBorder="1"/>
    <xf numFmtId="164" fontId="12" fillId="0" borderId="0" xfId="0" applyNumberFormat="1" applyFont="1" applyAlignment="1">
      <alignment horizontal="left"/>
    </xf>
    <xf numFmtId="0" fontId="10" fillId="19" borderId="0" xfId="0" applyFont="1" applyFill="1"/>
    <xf numFmtId="3" fontId="10" fillId="19" borderId="34" xfId="0" applyNumberFormat="1" applyFont="1" applyFill="1" applyBorder="1"/>
    <xf numFmtId="3" fontId="10" fillId="19" borderId="35" xfId="0" applyNumberFormat="1" applyFont="1" applyFill="1" applyBorder="1"/>
    <xf numFmtId="3" fontId="10" fillId="19" borderId="36" xfId="0" applyNumberFormat="1" applyFont="1" applyFill="1" applyBorder="1"/>
    <xf numFmtId="0" fontId="46" fillId="0" borderId="0" xfId="0" applyFont="1" applyAlignment="1">
      <alignment horizontal="left" indent="1"/>
    </xf>
    <xf numFmtId="0" fontId="9" fillId="19" borderId="2" xfId="3" quotePrefix="1" applyFont="1" applyFill="1"/>
    <xf numFmtId="0" fontId="12" fillId="0" borderId="15" xfId="12" applyFont="1" applyBorder="1" applyAlignment="1">
      <alignment horizontal="center" vertical="center"/>
    </xf>
    <xf numFmtId="0" fontId="12" fillId="0" borderId="11" xfId="12" applyFont="1" applyFill="1" applyBorder="1" applyAlignment="1">
      <alignment horizontal="center" vertical="center"/>
    </xf>
    <xf numFmtId="0" fontId="12" fillId="0" borderId="5" xfId="12" applyFont="1" applyFill="1" applyBorder="1" applyAlignment="1">
      <alignment horizontal="center" vertical="center"/>
    </xf>
    <xf numFmtId="0" fontId="12" fillId="0" borderId="12" xfId="12" applyFont="1" applyFill="1" applyBorder="1" applyAlignment="1">
      <alignment horizontal="center" vertical="center"/>
    </xf>
    <xf numFmtId="0" fontId="17" fillId="0" borderId="0" xfId="0" applyFont="1" applyAlignment="1">
      <alignment horizontal="center"/>
    </xf>
    <xf numFmtId="0" fontId="17" fillId="0" borderId="4" xfId="0" applyFont="1" applyBorder="1" applyAlignment="1">
      <alignment horizontal="center"/>
    </xf>
    <xf numFmtId="0" fontId="20" fillId="0" borderId="57" xfId="0" applyFont="1" applyBorder="1" applyAlignment="1">
      <alignment horizontal="left" vertical="center"/>
    </xf>
    <xf numFmtId="0" fontId="20" fillId="0" borderId="58" xfId="0" applyFont="1" applyBorder="1" applyAlignment="1">
      <alignment horizontal="left" vertical="center"/>
    </xf>
    <xf numFmtId="0" fontId="20" fillId="0" borderId="59" xfId="0" applyFont="1" applyBorder="1" applyAlignment="1">
      <alignment horizontal="left" vertical="center" wrapText="1"/>
    </xf>
    <xf numFmtId="0" fontId="20" fillId="0" borderId="60" xfId="0" applyFont="1" applyBorder="1" applyAlignment="1">
      <alignment horizontal="left" vertical="center" wrapText="1"/>
    </xf>
    <xf numFmtId="0" fontId="20" fillId="0" borderId="61" xfId="0" applyFont="1" applyBorder="1" applyAlignment="1">
      <alignment horizontal="left" vertical="center" wrapText="1"/>
    </xf>
    <xf numFmtId="0" fontId="17" fillId="0" borderId="40" xfId="0" applyFont="1" applyBorder="1" applyAlignment="1">
      <alignment horizontal="left" vertical="center"/>
    </xf>
    <xf numFmtId="0" fontId="17" fillId="0" borderId="41" xfId="0" applyFont="1" applyBorder="1" applyAlignment="1">
      <alignment horizontal="left" vertical="center"/>
    </xf>
    <xf numFmtId="9" fontId="9" fillId="5" borderId="49" xfId="10" applyFont="1" applyFill="1" applyBorder="1" applyAlignment="1">
      <alignment horizontal="center" vertical="center"/>
    </xf>
    <xf numFmtId="9" fontId="9" fillId="5" borderId="50" xfId="10" applyFont="1" applyFill="1" applyBorder="1" applyAlignment="1">
      <alignment horizontal="center" vertical="center"/>
    </xf>
    <xf numFmtId="0" fontId="9" fillId="0" borderId="35" xfId="10" quotePrefix="1" applyNumberFormat="1" applyFont="1" applyFill="1" applyBorder="1" applyAlignment="1">
      <alignment horizontal="left" vertical="center" wrapText="1"/>
    </xf>
    <xf numFmtId="1" fontId="20" fillId="0" borderId="59" xfId="0" applyNumberFormat="1" applyFont="1" applyBorder="1" applyAlignment="1">
      <alignment horizontal="left" wrapText="1"/>
    </xf>
    <xf numFmtId="1" fontId="20" fillId="0" borderId="61" xfId="0" applyNumberFormat="1" applyFont="1" applyBorder="1" applyAlignment="1">
      <alignment horizontal="left" wrapText="1"/>
    </xf>
    <xf numFmtId="1" fontId="20" fillId="0" borderId="62" xfId="0" applyNumberFormat="1" applyFont="1" applyBorder="1" applyAlignment="1">
      <alignment horizontal="left" wrapText="1"/>
    </xf>
    <xf numFmtId="1" fontId="20" fillId="0" borderId="63" xfId="0" applyNumberFormat="1" applyFont="1" applyBorder="1" applyAlignment="1">
      <alignment horizontal="left" wrapText="1"/>
    </xf>
    <xf numFmtId="0" fontId="9" fillId="0" borderId="0" xfId="0" applyFont="1" applyAlignment="1">
      <alignment horizontal="left" vertical="top" wrapText="1"/>
    </xf>
    <xf numFmtId="0" fontId="10"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14" borderId="11" xfId="0" applyFont="1" applyFill="1" applyBorder="1" applyAlignment="1">
      <alignment horizontal="left" vertical="center" wrapText="1"/>
    </xf>
    <xf numFmtId="0" fontId="10" fillId="14" borderId="12"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9" fillId="14" borderId="1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10" fillId="14" borderId="15" xfId="0" applyFont="1" applyFill="1" applyBorder="1" applyAlignment="1">
      <alignment horizontal="left" vertical="center" wrapText="1"/>
    </xf>
    <xf numFmtId="9" fontId="15" fillId="0" borderId="15" xfId="0" applyNumberFormat="1" applyFont="1" applyFill="1" applyBorder="1" applyAlignment="1" applyProtection="1">
      <alignment horizontal="left" vertical="center" wrapText="1"/>
    </xf>
    <xf numFmtId="0" fontId="10" fillId="9" borderId="15"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9" fillId="4" borderId="15" xfId="0" applyFont="1" applyFill="1" applyBorder="1" applyAlignment="1">
      <alignment horizontal="left" vertical="center" wrapText="1"/>
    </xf>
    <xf numFmtId="0" fontId="9" fillId="14" borderId="15" xfId="0" applyFont="1" applyFill="1" applyBorder="1" applyAlignment="1">
      <alignment horizontal="left" vertical="center" wrapText="1"/>
    </xf>
    <xf numFmtId="0" fontId="10" fillId="9" borderId="15" xfId="0" quotePrefix="1"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9" borderId="7" xfId="0" applyFont="1" applyFill="1" applyBorder="1" applyAlignment="1">
      <alignment horizontal="left" vertical="center" wrapText="1"/>
    </xf>
    <xf numFmtId="0" fontId="10" fillId="9" borderId="6" xfId="0" applyFont="1" applyFill="1" applyBorder="1" applyAlignment="1">
      <alignment horizontal="left" vertical="center" wrapText="1"/>
    </xf>
    <xf numFmtId="0" fontId="10" fillId="9" borderId="8" xfId="0" applyFont="1" applyFill="1" applyBorder="1" applyAlignment="1">
      <alignment horizontal="left" vertical="center" wrapText="1"/>
    </xf>
    <xf numFmtId="9" fontId="15" fillId="0" borderId="7" xfId="0" applyNumberFormat="1" applyFont="1" applyFill="1" applyBorder="1" applyAlignment="1" applyProtection="1">
      <alignment horizontal="left" vertical="center" wrapText="1"/>
    </xf>
    <xf numFmtId="9" fontId="15" fillId="0" borderId="6" xfId="0" applyNumberFormat="1" applyFont="1" applyFill="1" applyBorder="1" applyAlignment="1" applyProtection="1">
      <alignment horizontal="left" vertical="center" wrapText="1"/>
    </xf>
    <xf numFmtId="9" fontId="15" fillId="0" borderId="8" xfId="0" applyNumberFormat="1" applyFont="1" applyFill="1" applyBorder="1" applyAlignment="1" applyProtection="1">
      <alignment horizontal="left" vertical="center" wrapText="1"/>
    </xf>
    <xf numFmtId="0" fontId="44" fillId="0" borderId="16" xfId="0" applyFont="1" applyBorder="1" applyAlignment="1">
      <alignment horizontal="center"/>
    </xf>
    <xf numFmtId="0" fontId="10" fillId="0" borderId="0" xfId="0" applyFont="1" applyFill="1" applyAlignment="1">
      <alignment horizontal="center" textRotation="90" wrapText="1"/>
    </xf>
    <xf numFmtId="164" fontId="10" fillId="0" borderId="15" xfId="0" applyNumberFormat="1" applyFont="1" applyFill="1" applyBorder="1" applyAlignment="1">
      <alignment horizontal="left" vertical="center" wrapText="1"/>
    </xf>
    <xf numFmtId="0" fontId="9" fillId="9" borderId="10" xfId="0" applyFont="1" applyFill="1" applyBorder="1" applyAlignment="1">
      <alignment horizontal="left" vertical="center" wrapText="1"/>
    </xf>
    <xf numFmtId="9" fontId="9" fillId="0" borderId="10" xfId="0" applyNumberFormat="1" applyFont="1" applyFill="1" applyBorder="1" applyAlignment="1" applyProtection="1">
      <alignment horizontal="left" vertical="center" wrapText="1"/>
    </xf>
    <xf numFmtId="49" fontId="9" fillId="9" borderId="10" xfId="0" quotePrefix="1" applyNumberFormat="1" applyFont="1" applyFill="1" applyBorder="1" applyAlignment="1">
      <alignment horizontal="left" vertical="center" wrapText="1"/>
    </xf>
    <xf numFmtId="49" fontId="9" fillId="0" borderId="10" xfId="0" applyNumberFormat="1" applyFont="1" applyFill="1" applyBorder="1" applyAlignment="1">
      <alignment horizontal="left" vertical="center" wrapText="1"/>
    </xf>
    <xf numFmtId="0" fontId="11" fillId="14" borderId="15" xfId="0" applyFont="1" applyFill="1" applyBorder="1" applyAlignment="1">
      <alignment horizontal="left" vertical="center" wrapText="1"/>
    </xf>
    <xf numFmtId="0" fontId="11" fillId="0" borderId="15" xfId="0" applyFont="1" applyFill="1" applyBorder="1" applyAlignment="1">
      <alignment horizontal="left" vertical="center" wrapText="1"/>
    </xf>
    <xf numFmtId="49" fontId="9" fillId="14" borderId="15" xfId="0" applyNumberFormat="1" applyFont="1" applyFill="1" applyBorder="1" applyAlignment="1">
      <alignment horizontal="left" vertical="center" wrapText="1"/>
    </xf>
    <xf numFmtId="0" fontId="11" fillId="4" borderId="15" xfId="0" applyFont="1" applyFill="1" applyBorder="1" applyAlignment="1">
      <alignment horizontal="left" vertical="center" wrapText="1"/>
    </xf>
    <xf numFmtId="0" fontId="9" fillId="14" borderId="11" xfId="0" applyFont="1" applyFill="1" applyBorder="1" applyAlignment="1">
      <alignment horizontal="left" vertical="center" wrapText="1"/>
    </xf>
    <xf numFmtId="0" fontId="9" fillId="14" borderId="5" xfId="0" applyFont="1" applyFill="1" applyBorder="1" applyAlignment="1">
      <alignment horizontal="left" vertical="center" wrapText="1"/>
    </xf>
    <xf numFmtId="0" fontId="9" fillId="14" borderId="12" xfId="0" applyFont="1" applyFill="1" applyBorder="1" applyAlignment="1">
      <alignment horizontal="left" vertical="center" wrapText="1"/>
    </xf>
    <xf numFmtId="0" fontId="9" fillId="0" borderId="15" xfId="0" applyFont="1" applyFill="1" applyBorder="1" applyAlignment="1">
      <alignment horizontal="left" vertical="center" wrapText="1"/>
    </xf>
    <xf numFmtId="9" fontId="9" fillId="0" borderId="15" xfId="0" applyNumberFormat="1" applyFont="1" applyFill="1" applyBorder="1" applyAlignment="1" applyProtection="1">
      <alignment horizontal="left" vertical="center" wrapText="1"/>
    </xf>
    <xf numFmtId="49" fontId="9" fillId="14" borderId="15" xfId="0" quotePrefix="1" applyNumberFormat="1" applyFont="1" applyFill="1" applyBorder="1" applyAlignment="1">
      <alignment horizontal="left" vertical="center" wrapText="1"/>
    </xf>
    <xf numFmtId="49" fontId="9" fillId="0" borderId="10" xfId="0" quotePrefix="1" applyNumberFormat="1" applyFont="1" applyFill="1" applyBorder="1" applyAlignment="1">
      <alignment horizontal="left" vertical="center" wrapText="1"/>
    </xf>
    <xf numFmtId="164" fontId="10" fillId="0" borderId="7" xfId="0" applyNumberFormat="1" applyFont="1" applyFill="1" applyBorder="1" applyAlignment="1">
      <alignment horizontal="left" vertical="center" wrapText="1"/>
    </xf>
    <xf numFmtId="164" fontId="10" fillId="0" borderId="6" xfId="0" applyNumberFormat="1" applyFont="1" applyFill="1" applyBorder="1" applyAlignment="1">
      <alignment horizontal="left" vertical="center" wrapText="1"/>
    </xf>
    <xf numFmtId="164" fontId="10" fillId="0" borderId="8" xfId="0" applyNumberFormat="1" applyFont="1" applyFill="1" applyBorder="1" applyAlignment="1">
      <alignment horizontal="left" vertical="center" wrapText="1"/>
    </xf>
    <xf numFmtId="0" fontId="11" fillId="14" borderId="10"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9" fillId="14" borderId="7" xfId="0" applyFont="1" applyFill="1" applyBorder="1" applyAlignment="1">
      <alignment horizontal="left" vertical="center" wrapText="1"/>
    </xf>
    <xf numFmtId="0" fontId="9" fillId="14" borderId="6" xfId="0" applyFont="1" applyFill="1" applyBorder="1" applyAlignment="1">
      <alignment horizontal="left" vertical="center" wrapText="1"/>
    </xf>
    <xf numFmtId="0" fontId="9" fillId="14" borderId="8" xfId="0" applyFont="1" applyFill="1" applyBorder="1" applyAlignment="1">
      <alignment horizontal="left" vertical="center" wrapText="1"/>
    </xf>
    <xf numFmtId="9" fontId="9" fillId="8" borderId="10" xfId="0" applyNumberFormat="1" applyFont="1" applyFill="1" applyBorder="1" applyAlignment="1" applyProtection="1">
      <alignment horizontal="left" vertical="center" wrapText="1"/>
    </xf>
    <xf numFmtId="0" fontId="10" fillId="15" borderId="0" xfId="0" applyFont="1" applyFill="1" applyAlignment="1">
      <alignment horizontal="right" vertical="center" wrapText="1"/>
    </xf>
    <xf numFmtId="0" fontId="10" fillId="15" borderId="0" xfId="0" applyFont="1" applyFill="1" applyAlignment="1">
      <alignment horizontal="right" vertical="center"/>
    </xf>
    <xf numFmtId="164" fontId="10" fillId="9" borderId="7" xfId="0" applyNumberFormat="1" applyFont="1" applyFill="1" applyBorder="1" applyAlignment="1">
      <alignment horizontal="left" vertical="center" wrapText="1"/>
    </xf>
    <xf numFmtId="164" fontId="10" fillId="9" borderId="6" xfId="0" applyNumberFormat="1" applyFont="1" applyFill="1" applyBorder="1" applyAlignment="1">
      <alignment horizontal="left" vertical="center" wrapText="1"/>
    </xf>
    <xf numFmtId="164" fontId="10" fillId="9" borderId="8" xfId="0" applyNumberFormat="1" applyFont="1" applyFill="1" applyBorder="1" applyAlignment="1">
      <alignment horizontal="left" vertical="center" wrapText="1"/>
    </xf>
    <xf numFmtId="49" fontId="9" fillId="14" borderId="10" xfId="0" quotePrefix="1" applyNumberFormat="1" applyFont="1" applyFill="1" applyBorder="1" applyAlignment="1">
      <alignment horizontal="left" vertical="center" wrapText="1"/>
    </xf>
    <xf numFmtId="0" fontId="20" fillId="14" borderId="11" xfId="0" applyFont="1" applyFill="1" applyBorder="1" applyAlignment="1">
      <alignment horizontal="left" vertical="center" wrapText="1"/>
    </xf>
    <xf numFmtId="0" fontId="20" fillId="14" borderId="12" xfId="0" applyFont="1" applyFill="1" applyBorder="1" applyAlignment="1">
      <alignment horizontal="left" vertical="center" wrapText="1"/>
    </xf>
    <xf numFmtId="0" fontId="10" fillId="15" borderId="0" xfId="0" applyFont="1" applyFill="1" applyAlignment="1">
      <alignment horizontal="left" vertical="center" wrapText="1"/>
    </xf>
    <xf numFmtId="0" fontId="10" fillId="15" borderId="0" xfId="0" applyFont="1" applyFill="1" applyAlignment="1">
      <alignment horizontal="left" vertical="center"/>
    </xf>
    <xf numFmtId="9" fontId="9" fillId="9" borderId="10" xfId="0" applyNumberFormat="1" applyFont="1" applyFill="1" applyBorder="1" applyAlignment="1" applyProtection="1">
      <alignment horizontal="left" vertical="center" wrapText="1"/>
    </xf>
    <xf numFmtId="49" fontId="9" fillId="14" borderId="10" xfId="0" applyNumberFormat="1" applyFont="1" applyFill="1" applyBorder="1" applyAlignment="1">
      <alignment horizontal="left" vertical="center" wrapText="1"/>
    </xf>
    <xf numFmtId="0" fontId="11" fillId="0" borderId="10" xfId="0" applyFont="1" applyFill="1" applyBorder="1" applyAlignment="1">
      <alignment horizontal="left" vertical="center" wrapText="1"/>
    </xf>
    <xf numFmtId="0" fontId="12" fillId="0" borderId="0" xfId="0" applyFont="1" applyAlignment="1">
      <alignment horizontal="left" vertical="center" wrapText="1"/>
    </xf>
  </cellXfs>
  <cellStyles count="22">
    <cellStyle name="Comma" xfId="2" builtinId="3"/>
    <cellStyle name="Comma [0]" xfId="11" builtinId="6"/>
    <cellStyle name="Comma [0] 2" xfId="20"/>
    <cellStyle name="Comma 14" xfId="13"/>
    <cellStyle name="Comma 14 2" xfId="21"/>
    <cellStyle name="Comma 2" xfId="16"/>
    <cellStyle name="Comma 3" xfId="9"/>
    <cellStyle name="Comma 3 2" xfId="18"/>
    <cellStyle name="Comma 4" xfId="19"/>
    <cellStyle name="Comma 5" xfId="17"/>
    <cellStyle name="Highlight" xfId="15"/>
    <cellStyle name="Input Data" xfId="3"/>
    <cellStyle name="Input Estimate" xfId="4"/>
    <cellStyle name="Input linked" xfId="5"/>
    <cellStyle name="Key Output" xfId="7"/>
    <cellStyle name="Macro Output" xfId="6"/>
    <cellStyle name="Normal" xfId="0" builtinId="0"/>
    <cellStyle name="Normal 2" xfId="12"/>
    <cellStyle name="Normal 24" xfId="14"/>
    <cellStyle name="Percent" xfId="10" builtinId="5"/>
    <cellStyle name="Percent 2" xfId="8"/>
    <cellStyle name="Warning Text" xfId="1" builtinId="11"/>
  </cellStyles>
  <dxfs count="0"/>
  <tableStyles count="0" defaultTableStyle="TableStyleMedium2" defaultPivotStyle="PivotStyleLight16"/>
  <colors>
    <mruColors>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0</xdr:col>
      <xdr:colOff>304800</xdr:colOff>
      <xdr:row>7</xdr:row>
      <xdr:rowOff>121920</xdr:rowOff>
    </xdr:to>
    <xdr:sp macro="" textlink="">
      <xdr:nvSpPr>
        <xdr:cNvPr id="1026" name="AutoShape 2" descr="Cartesian"/>
        <xdr:cNvSpPr>
          <a:spLocks noChangeAspect="1" noChangeArrowheads="1"/>
        </xdr:cNvSpPr>
      </xdr:nvSpPr>
      <xdr:spPr bwMode="auto">
        <a:xfrm>
          <a:off x="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121920</xdr:rowOff>
    </xdr:to>
    <xdr:sp macro="" textlink="">
      <xdr:nvSpPr>
        <xdr:cNvPr id="1027" name="AutoShape 3" descr="Cartesian"/>
        <xdr:cNvSpPr>
          <a:spLocks noChangeAspect="1" noChangeArrowheads="1"/>
        </xdr:cNvSpPr>
      </xdr:nvSpPr>
      <xdr:spPr bwMode="auto">
        <a:xfrm>
          <a:off x="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121920</xdr:rowOff>
    </xdr:to>
    <xdr:sp macro="" textlink="">
      <xdr:nvSpPr>
        <xdr:cNvPr id="1028" name="AutoShape 4" descr="Cartesian"/>
        <xdr:cNvSpPr>
          <a:spLocks noChangeAspect="1" noChangeArrowheads="1"/>
        </xdr:cNvSpPr>
      </xdr:nvSpPr>
      <xdr:spPr bwMode="auto">
        <a:xfrm>
          <a:off x="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2</xdr:col>
      <xdr:colOff>586740</xdr:colOff>
      <xdr:row>7</xdr:row>
      <xdr:rowOff>163950</xdr:rowOff>
    </xdr:to>
    <xdr:pic>
      <xdr:nvPicPr>
        <xdr:cNvPr id="31" name="Picture 30" descr="http://careeredge.bc.edu/wp-content/uploads/sites/4/2014/04/logo-no-glow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7280"/>
          <a:ext cx="1836420" cy="3468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726420</xdr:colOff>
      <xdr:row>6</xdr:row>
      <xdr:rowOff>67236</xdr:rowOff>
    </xdr:from>
    <xdr:to>
      <xdr:col>4</xdr:col>
      <xdr:colOff>9025423</xdr:colOff>
      <xdr:row>33</xdr:row>
      <xdr:rowOff>4626</xdr:rowOff>
    </xdr:to>
    <xdr:pic>
      <xdr:nvPicPr>
        <xdr:cNvPr id="39" name="Picture 38"/>
        <xdr:cNvPicPr>
          <a:picLocks noChangeAspect="1"/>
        </xdr:cNvPicPr>
      </xdr:nvPicPr>
      <xdr:blipFill>
        <a:blip xmlns:r="http://schemas.openxmlformats.org/officeDocument/2006/relationships" r:embed="rId1"/>
        <a:stretch>
          <a:fillRect/>
        </a:stretch>
      </xdr:blipFill>
      <xdr:spPr>
        <a:xfrm>
          <a:off x="1936655" y="1008530"/>
          <a:ext cx="10764297" cy="41732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ClientFiles\Client%20Files%202013\Ofcom\Switching%20Extension%205\Analysis\Switching%20Extension_Model%20Costs_130621_Updated%20Final%20Draf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sheetName val="Model_Overview"/>
      <sheetName val="Change_Log"/>
      <sheetName val="Sensitivity Tables"/>
      <sheetName val="Sensitivities"/>
      <sheetName val="Industry Model Adj---&gt;"/>
      <sheetName val="Industry Per CP Per Cust Costs"/>
      <sheetName val="Industry - Mkt Size Inputs"/>
      <sheetName val="Industry Cost Inputs - Original"/>
      <sheetName val="Independent Model---&gt;"/>
      <sheetName val="E-NoT Elements"/>
      <sheetName val="Independent Cost Inputs"/>
      <sheetName val="Independent Mkt Size Inputs "/>
      <sheetName val="Industry Cost Inputs"/>
      <sheetName val="Industry Model Outputs"/>
      <sheetName val="AO and WS Inputs"/>
      <sheetName val="Scenarios"/>
      <sheetName val="USN Calc---&gt;"/>
      <sheetName val="USN - Process Workings"/>
      <sheetName val="USN - Systems Workings"/>
      <sheetName val="USN - Central Costs"/>
      <sheetName val="TPV Calc---&gt;"/>
      <sheetName val="TPV - Process Workings"/>
      <sheetName val="TPV - Systems Workings"/>
      <sheetName val="TPV - Central Costs"/>
      <sheetName val="TPV2 Calc---&gt;"/>
      <sheetName val="TPV2 - Process Workings"/>
      <sheetName val="TPV2 - Systems Workings"/>
      <sheetName val="TPV2 - Central Costs"/>
      <sheetName val="GPL-TxC Calc---&gt;"/>
      <sheetName val="GPL-TxC - Process Workings"/>
      <sheetName val="GPL-TxC - Systems Workings"/>
      <sheetName val="GPL-TxC - Central Costs"/>
      <sheetName val="GPL Virtual Calc---&gt;"/>
      <sheetName val="GPL-Virt - Process Workings"/>
      <sheetName val="GPL-Virt - Systems Workings"/>
      <sheetName val="GPL-Virt - Central Costs"/>
      <sheetName val="LPL Calc---&gt;"/>
      <sheetName val="LPL - Process Workings"/>
      <sheetName val="LPL - Systems Workings"/>
      <sheetName val="LPL - Central Costs"/>
      <sheetName val="Enhanced NoT Calc---&gt;"/>
      <sheetName val="Enhanced NoT - Process Workings"/>
      <sheetName val="Enhanced NoT - Systems Workings"/>
      <sheetName val="Enhanced NoT - Central Costs"/>
      <sheetName val="Enhanced Mac Calc---&gt;"/>
      <sheetName val="Enhanced MAC - Process Workings"/>
      <sheetName val="Enhanced MAC - Systems Workings"/>
      <sheetName val="Enhanced MAC - Central Costs"/>
      <sheetName val="En. NoT &amp; MAC Unharm. Calc---&gt;"/>
      <sheetName val="EN&amp;M Unharm. - Process Workings"/>
      <sheetName val="EN&amp;M Unharm. - Systems Workings"/>
      <sheetName val="EN&amp;M Unharm. - Central Costs"/>
      <sheetName val="Other Amendments--&gt;"/>
      <sheetName val="Consent Validation"/>
      <sheetName val="Switching ETs"/>
      <sheetName val="WLTO ETs"/>
      <sheetName val="Outputs---&gt;"/>
      <sheetName val="Independent Per CP Summary"/>
      <sheetName val="Cost-Template"/>
      <sheetName val="Independent Model Outputs"/>
      <sheetName val="NPV Model"/>
      <sheetName val="Report Section I Figures---&gt;"/>
      <sheetName val="Body - Cost Charts"/>
      <sheetName val="ANNEX - Cost Breakdown"/>
      <sheetName val="ANNEX - Input Assumptions"/>
      <sheetName val="Extension 5--&gt;"/>
      <sheetName val="Sim 1 Inputs"/>
      <sheetName val="Provision Info Inputs"/>
      <sheetName val="Cancel Other Split"/>
      <sheetName val="Report Section II Figures"/>
      <sheetName val="E-NoT"/>
      <sheetName val="NoT+"/>
      <sheetName val="ANNEX"/>
      <sheetName val="NPC Comparison"/>
    </sheetNames>
    <sheetDataSet>
      <sheetData sheetId="0"/>
      <sheetData sheetId="1"/>
      <sheetData sheetId="2"/>
      <sheetData sheetId="3"/>
      <sheetData sheetId="4"/>
      <sheetData sheetId="5"/>
      <sheetData sheetId="6"/>
      <sheetData sheetId="7"/>
      <sheetData sheetId="8"/>
      <sheetData sheetId="9"/>
      <sheetData sheetId="10"/>
      <sheetData sheetId="11">
        <row r="54">
          <cell r="H54">
            <v>1389.6838604019863</v>
          </cell>
          <cell r="I54">
            <v>27793.677208039728</v>
          </cell>
          <cell r="J54">
            <v>509550.74881406169</v>
          </cell>
        </row>
        <row r="79">
          <cell r="G79">
            <v>0.2</v>
          </cell>
        </row>
        <row r="80">
          <cell r="G80">
            <v>120</v>
          </cell>
        </row>
        <row r="81">
          <cell r="G81">
            <v>70000</v>
          </cell>
        </row>
        <row r="95">
          <cell r="G95">
            <v>14.481099584946872</v>
          </cell>
        </row>
        <row r="97">
          <cell r="G97">
            <v>0.2</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64">
          <cell r="F64">
            <v>3</v>
          </cell>
        </row>
      </sheetData>
      <sheetData sheetId="61">
        <row r="33">
          <cell r="F33">
            <v>3.5000000000000003E-2</v>
          </cell>
        </row>
      </sheetData>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2:T156"/>
  <sheetViews>
    <sheetView showGridLines="0" topLeftCell="A31" zoomScale="80" zoomScaleNormal="80" workbookViewId="0">
      <selection activeCell="K55" sqref="K55"/>
    </sheetView>
  </sheetViews>
  <sheetFormatPr defaultColWidth="9.140625" defaultRowHeight="15" x14ac:dyDescent="0.25"/>
  <cols>
    <col min="1" max="2" width="9.140625" style="1"/>
    <col min="3" max="3" width="9.140625" style="2"/>
    <col min="4" max="5" width="15.7109375" style="1" customWidth="1"/>
    <col min="6" max="13" width="9.140625" style="1"/>
    <col min="14" max="14" width="13.28515625" style="1" customWidth="1"/>
    <col min="15" max="19" width="9.140625" style="1"/>
    <col min="20" max="20" width="9.140625" style="3"/>
    <col min="21" max="16384" width="9.140625" style="1"/>
  </cols>
  <sheetData>
    <row r="2" spans="1:20" x14ac:dyDescent="0.25">
      <c r="B2" s="10" t="s">
        <v>0</v>
      </c>
      <c r="C2" s="10"/>
      <c r="D2" s="12" t="str">
        <f ca="1">MID(CELL("filename",A1),FIND("]",CELL("filename",A1))+1,256)</f>
        <v>Admin</v>
      </c>
      <c r="E2" s="10"/>
      <c r="F2" s="10"/>
      <c r="G2" s="10"/>
      <c r="H2" s="10"/>
      <c r="I2" s="10"/>
      <c r="J2" s="10"/>
      <c r="K2" s="10"/>
      <c r="L2" s="10"/>
      <c r="M2" s="10"/>
      <c r="N2" s="10"/>
      <c r="O2" s="10"/>
    </row>
    <row r="3" spans="1:20" x14ac:dyDescent="0.25">
      <c r="B3" s="10" t="s">
        <v>1</v>
      </c>
      <c r="C3" s="10"/>
      <c r="D3" s="10" t="s">
        <v>2</v>
      </c>
      <c r="E3" s="10"/>
      <c r="F3" s="10"/>
      <c r="G3" s="10"/>
      <c r="H3" s="10"/>
      <c r="I3" s="10"/>
      <c r="J3" s="10"/>
      <c r="K3" s="10"/>
      <c r="L3" s="10"/>
      <c r="M3" s="10"/>
      <c r="N3" s="10"/>
      <c r="O3" s="10"/>
    </row>
    <row r="4" spans="1:20" x14ac:dyDescent="0.25">
      <c r="B4" s="10"/>
      <c r="C4" s="12"/>
      <c r="D4" s="10"/>
      <c r="E4" s="10"/>
      <c r="F4" s="10"/>
      <c r="G4" s="10"/>
      <c r="H4" s="10"/>
      <c r="I4" s="10"/>
      <c r="J4" s="10"/>
      <c r="K4" s="10"/>
      <c r="L4" s="10"/>
      <c r="M4" s="10"/>
      <c r="N4" s="10"/>
      <c r="O4" s="10"/>
    </row>
    <row r="5" spans="1:20" s="4" customFormat="1" x14ac:dyDescent="0.25">
      <c r="B5" s="294"/>
      <c r="C5" s="294"/>
      <c r="D5" s="294"/>
      <c r="E5" s="294"/>
      <c r="F5" s="294"/>
      <c r="G5" s="294"/>
      <c r="H5" s="294"/>
      <c r="I5" s="294"/>
      <c r="J5" s="294"/>
      <c r="K5" s="294"/>
      <c r="L5" s="294"/>
      <c r="M5" s="294"/>
      <c r="N5" s="294"/>
      <c r="O5" s="294"/>
      <c r="T5" s="5"/>
    </row>
    <row r="6" spans="1:20" x14ac:dyDescent="0.25">
      <c r="B6" s="10"/>
      <c r="C6" s="12"/>
      <c r="D6" s="10"/>
      <c r="E6" s="10"/>
      <c r="F6" s="10"/>
      <c r="G6" s="10"/>
      <c r="H6" s="10"/>
      <c r="I6" s="10"/>
      <c r="J6" s="10"/>
      <c r="K6" s="10"/>
      <c r="L6" s="10"/>
      <c r="M6" s="10"/>
      <c r="N6" s="10"/>
      <c r="O6" s="10"/>
    </row>
    <row r="7" spans="1:20" x14ac:dyDescent="0.25">
      <c r="A7"/>
      <c r="B7" s="10"/>
      <c r="C7" s="12"/>
      <c r="D7" s="10" t="s">
        <v>3</v>
      </c>
      <c r="E7" s="12" t="s">
        <v>25</v>
      </c>
      <c r="F7" s="10"/>
      <c r="G7" s="10"/>
      <c r="H7" s="10"/>
      <c r="I7" s="10"/>
      <c r="J7" s="10"/>
      <c r="K7" s="10"/>
      <c r="L7" s="10"/>
      <c r="M7" s="10"/>
      <c r="N7" s="10"/>
      <c r="O7" s="10"/>
    </row>
    <row r="8" spans="1:20" x14ac:dyDescent="0.25">
      <c r="B8" s="10"/>
      <c r="C8" s="12"/>
      <c r="D8" s="10"/>
      <c r="E8" s="10"/>
      <c r="F8" s="10"/>
      <c r="G8" s="10"/>
      <c r="H8" s="10"/>
      <c r="I8" s="10"/>
      <c r="J8" s="10"/>
      <c r="K8" s="10"/>
      <c r="L8" s="10"/>
      <c r="M8" s="10"/>
      <c r="N8" s="10"/>
      <c r="O8" s="10"/>
    </row>
    <row r="9" spans="1:20" x14ac:dyDescent="0.25">
      <c r="B9" s="10"/>
      <c r="C9" s="10"/>
      <c r="D9" s="10" t="s">
        <v>4</v>
      </c>
      <c r="E9" s="12" t="str">
        <f ca="1">MID(CELL("filename",A1),FIND("[",CELL("filename",A1))+1,FIND("]",CELL("filename",A1))-FIND("[",CELL("filename",A1))-1)</f>
        <v>Cartesian cost model NON-CONFIDENTIAL VERSION.xlsx</v>
      </c>
      <c r="F9" s="10"/>
      <c r="G9" s="10"/>
      <c r="H9" s="10"/>
      <c r="I9" s="10"/>
      <c r="J9" s="10"/>
      <c r="K9" s="10"/>
      <c r="L9" s="10"/>
      <c r="M9" s="10"/>
      <c r="N9" s="10"/>
      <c r="O9" s="10"/>
    </row>
    <row r="10" spans="1:20" x14ac:dyDescent="0.25">
      <c r="B10" s="10"/>
      <c r="C10" s="10"/>
      <c r="D10" s="10"/>
      <c r="E10" s="10"/>
      <c r="F10" s="10"/>
      <c r="G10" s="10"/>
      <c r="H10" s="10"/>
      <c r="I10" s="10"/>
      <c r="J10" s="10"/>
      <c r="K10" s="10"/>
      <c r="L10" s="10"/>
      <c r="M10" s="10"/>
      <c r="N10" s="10"/>
      <c r="O10" s="10"/>
    </row>
    <row r="11" spans="1:20" x14ac:dyDescent="0.25">
      <c r="B11" s="10"/>
      <c r="C11" s="10"/>
      <c r="D11" s="10" t="s">
        <v>5</v>
      </c>
      <c r="E11" s="699">
        <v>14</v>
      </c>
      <c r="F11" s="25"/>
      <c r="G11" s="10"/>
      <c r="H11" s="10"/>
      <c r="I11" s="10"/>
      <c r="J11" s="10"/>
      <c r="K11" s="10"/>
      <c r="L11" s="10"/>
      <c r="M11" s="10"/>
      <c r="N11" s="10"/>
      <c r="O11" s="10"/>
    </row>
    <row r="12" spans="1:20" x14ac:dyDescent="0.25">
      <c r="B12" s="10"/>
      <c r="C12" s="10"/>
      <c r="D12" s="10" t="s">
        <v>6</v>
      </c>
      <c r="E12" s="295">
        <f ca="1">TODAY()</f>
        <v>42579</v>
      </c>
      <c r="F12" s="10"/>
      <c r="G12" s="10"/>
      <c r="H12" s="10"/>
      <c r="I12" s="10"/>
      <c r="J12" s="10"/>
      <c r="K12" s="10"/>
      <c r="L12" s="10"/>
      <c r="M12" s="10"/>
      <c r="N12" s="10"/>
      <c r="O12" s="10"/>
    </row>
    <row r="13" spans="1:20" x14ac:dyDescent="0.25">
      <c r="B13" s="10"/>
      <c r="C13" s="10"/>
      <c r="D13" s="10"/>
      <c r="E13" s="10"/>
      <c r="F13" s="10"/>
      <c r="G13" s="10"/>
      <c r="H13" s="10"/>
      <c r="I13" s="10"/>
      <c r="J13" s="10"/>
      <c r="K13" s="10"/>
      <c r="L13" s="10"/>
      <c r="M13" s="10"/>
      <c r="N13" s="10"/>
      <c r="O13" s="10"/>
    </row>
    <row r="14" spans="1:20" x14ac:dyDescent="0.25">
      <c r="B14" s="10"/>
      <c r="C14" s="10"/>
      <c r="D14" s="10" t="s">
        <v>7</v>
      </c>
      <c r="E14" s="12" t="s">
        <v>26</v>
      </c>
      <c r="F14" s="10"/>
      <c r="G14" s="10"/>
      <c r="H14" s="10"/>
      <c r="I14" s="10"/>
      <c r="J14" s="10"/>
      <c r="K14" s="10"/>
      <c r="L14" s="10"/>
      <c r="M14" s="10"/>
      <c r="N14" s="10"/>
      <c r="O14" s="10"/>
    </row>
    <row r="15" spans="1:20" x14ac:dyDescent="0.25">
      <c r="B15" s="10"/>
      <c r="C15" s="12"/>
      <c r="D15" s="10" t="s">
        <v>8</v>
      </c>
      <c r="E15" s="296" t="s">
        <v>9</v>
      </c>
      <c r="F15" s="10"/>
      <c r="G15" s="10"/>
      <c r="H15" s="10"/>
      <c r="I15" s="10"/>
      <c r="J15" s="10"/>
      <c r="K15" s="10"/>
      <c r="L15" s="10"/>
      <c r="M15" s="10"/>
      <c r="N15" s="10"/>
      <c r="O15" s="10"/>
    </row>
    <row r="16" spans="1:20" x14ac:dyDescent="0.25">
      <c r="B16" s="10"/>
      <c r="C16" s="12"/>
      <c r="D16" s="10"/>
      <c r="E16" s="296"/>
      <c r="F16" s="10"/>
      <c r="G16" s="10"/>
      <c r="H16" s="10"/>
      <c r="I16" s="10"/>
      <c r="J16" s="10"/>
      <c r="K16" s="10"/>
      <c r="L16" s="10"/>
      <c r="M16" s="10"/>
      <c r="N16" s="10"/>
      <c r="O16" s="10"/>
    </row>
    <row r="17" spans="2:15" x14ac:dyDescent="0.25">
      <c r="B17" s="10"/>
      <c r="C17" s="12"/>
      <c r="D17" s="10"/>
      <c r="E17" s="10"/>
      <c r="F17" s="10"/>
      <c r="G17" s="10"/>
      <c r="H17" s="10"/>
      <c r="I17" s="10"/>
      <c r="J17" s="10"/>
      <c r="K17" s="10"/>
      <c r="L17" s="10"/>
      <c r="M17" s="10"/>
      <c r="N17" s="10"/>
      <c r="O17" s="10"/>
    </row>
    <row r="18" spans="2:15" s="6" customFormat="1" x14ac:dyDescent="0.25">
      <c r="B18" s="297" t="s">
        <v>10</v>
      </c>
      <c r="C18" s="297"/>
      <c r="D18" s="297"/>
      <c r="E18" s="297"/>
      <c r="F18" s="297"/>
      <c r="G18" s="297"/>
      <c r="H18" s="297"/>
      <c r="I18" s="297"/>
      <c r="J18" s="297"/>
      <c r="K18" s="297"/>
      <c r="L18" s="297"/>
      <c r="M18" s="297"/>
      <c r="N18" s="297"/>
      <c r="O18" s="297"/>
    </row>
    <row r="19" spans="2:15" x14ac:dyDescent="0.25">
      <c r="B19" s="10"/>
      <c r="C19" s="12"/>
      <c r="D19" s="10"/>
      <c r="E19" s="10"/>
      <c r="F19" s="10"/>
      <c r="G19" s="10"/>
      <c r="H19" s="10"/>
      <c r="I19" s="10"/>
      <c r="J19" s="10"/>
      <c r="K19" s="10"/>
      <c r="L19" s="10"/>
      <c r="M19" s="10"/>
      <c r="N19" s="10"/>
      <c r="O19" s="10"/>
    </row>
    <row r="20" spans="2:15" x14ac:dyDescent="0.25">
      <c r="B20" s="298" t="s">
        <v>11</v>
      </c>
      <c r="C20" s="12"/>
      <c r="D20" s="12" t="s">
        <v>12</v>
      </c>
      <c r="E20" s="10"/>
      <c r="F20" s="10"/>
      <c r="G20" s="10"/>
      <c r="H20" s="10"/>
      <c r="I20" s="10"/>
      <c r="J20" s="10"/>
      <c r="K20" s="10"/>
      <c r="L20" s="10"/>
      <c r="M20" s="10"/>
      <c r="N20" s="10"/>
      <c r="O20" s="10"/>
    </row>
    <row r="21" spans="2:15" ht="13.5" customHeight="1" x14ac:dyDescent="0.25">
      <c r="B21" s="10"/>
      <c r="C21" s="10"/>
      <c r="D21" s="10"/>
      <c r="E21" s="10"/>
      <c r="F21" s="10"/>
      <c r="G21" s="299"/>
      <c r="H21" s="299"/>
      <c r="I21" s="299"/>
      <c r="J21" s="10"/>
      <c r="K21" s="10"/>
      <c r="L21" s="10"/>
      <c r="M21" s="10"/>
      <c r="N21" s="10"/>
      <c r="O21" s="10"/>
    </row>
    <row r="22" spans="2:15" x14ac:dyDescent="0.25">
      <c r="B22" s="300">
        <v>1234</v>
      </c>
      <c r="C22" s="301"/>
      <c r="D22" s="10" t="s">
        <v>13</v>
      </c>
      <c r="E22" s="10"/>
      <c r="F22" s="10"/>
      <c r="G22" s="299"/>
      <c r="H22" s="234"/>
      <c r="I22" s="299"/>
      <c r="J22" s="10"/>
      <c r="K22" s="10"/>
      <c r="L22" s="10"/>
      <c r="M22" s="10"/>
      <c r="N22" s="10"/>
      <c r="O22" s="10"/>
    </row>
    <row r="23" spans="2:15" ht="15.75" thickBot="1" x14ac:dyDescent="0.3">
      <c r="B23" s="263"/>
      <c r="C23" s="10"/>
      <c r="D23" s="263"/>
      <c r="E23" s="10"/>
      <c r="F23" s="302"/>
      <c r="G23" s="299"/>
      <c r="H23" s="299"/>
      <c r="I23" s="299"/>
      <c r="J23" s="10"/>
      <c r="K23" s="10"/>
      <c r="L23" s="10"/>
      <c r="M23" s="10"/>
      <c r="N23" s="10"/>
      <c r="O23" s="10"/>
    </row>
    <row r="24" spans="2:15" ht="15.75" thickBot="1" x14ac:dyDescent="0.3">
      <c r="B24" s="303">
        <v>1234</v>
      </c>
      <c r="C24" s="301"/>
      <c r="D24" s="10" t="s">
        <v>14</v>
      </c>
      <c r="E24" s="10"/>
      <c r="F24" s="10"/>
      <c r="G24" s="299"/>
      <c r="H24" s="299"/>
      <c r="I24" s="299"/>
      <c r="J24" s="10"/>
      <c r="K24" s="10"/>
      <c r="L24" s="10"/>
      <c r="M24" s="10"/>
      <c r="N24" s="10"/>
      <c r="O24" s="10"/>
    </row>
    <row r="25" spans="2:15" x14ac:dyDescent="0.25">
      <c r="B25" s="300"/>
      <c r="C25" s="301"/>
      <c r="D25" s="263"/>
      <c r="E25" s="10"/>
      <c r="F25" s="10"/>
      <c r="G25" s="299"/>
      <c r="H25" s="299"/>
      <c r="I25" s="299"/>
      <c r="J25" s="10"/>
      <c r="K25" s="10"/>
      <c r="L25" s="10"/>
      <c r="M25" s="10"/>
      <c r="N25" s="10"/>
      <c r="O25" s="10"/>
    </row>
    <row r="26" spans="2:15" x14ac:dyDescent="0.25">
      <c r="B26" s="304">
        <v>1234</v>
      </c>
      <c r="C26" s="301"/>
      <c r="D26" s="10" t="s">
        <v>15</v>
      </c>
      <c r="E26" s="10"/>
      <c r="F26" s="10"/>
      <c r="G26" s="299"/>
      <c r="H26" s="299"/>
      <c r="I26" s="299"/>
      <c r="J26" s="10"/>
      <c r="K26" s="10"/>
      <c r="L26" s="10"/>
      <c r="M26" s="10"/>
      <c r="N26" s="10"/>
      <c r="O26" s="10"/>
    </row>
    <row r="27" spans="2:15" x14ac:dyDescent="0.25">
      <c r="B27" s="300"/>
      <c r="C27" s="301"/>
      <c r="D27" s="263"/>
      <c r="E27" s="10"/>
      <c r="F27" s="10"/>
      <c r="G27" s="299"/>
      <c r="H27" s="299"/>
      <c r="I27" s="299"/>
      <c r="J27" s="10"/>
      <c r="K27" s="10"/>
      <c r="L27" s="10"/>
      <c r="M27" s="10"/>
      <c r="N27" s="10"/>
      <c r="O27" s="10"/>
    </row>
    <row r="28" spans="2:15" x14ac:dyDescent="0.25">
      <c r="B28" s="305">
        <v>1234</v>
      </c>
      <c r="C28" s="301"/>
      <c r="D28" s="10" t="s">
        <v>16</v>
      </c>
      <c r="E28" s="10"/>
      <c r="F28" s="10"/>
      <c r="G28" s="10"/>
      <c r="H28" s="10"/>
      <c r="I28" s="10"/>
      <c r="J28" s="10"/>
      <c r="K28" s="10"/>
      <c r="L28" s="10"/>
      <c r="M28" s="10"/>
      <c r="N28" s="10"/>
      <c r="O28" s="10"/>
    </row>
    <row r="29" spans="2:15" x14ac:dyDescent="0.25">
      <c r="B29" s="300"/>
      <c r="C29" s="301"/>
      <c r="D29" s="263"/>
      <c r="E29" s="10"/>
      <c r="F29" s="10"/>
      <c r="G29" s="10"/>
      <c r="H29" s="10"/>
      <c r="I29" s="10"/>
      <c r="J29" s="10"/>
      <c r="K29" s="10"/>
      <c r="L29" s="10"/>
      <c r="M29" s="10"/>
      <c r="N29" s="10"/>
      <c r="O29" s="10"/>
    </row>
    <row r="30" spans="2:15" x14ac:dyDescent="0.25">
      <c r="B30" s="306">
        <v>1234</v>
      </c>
      <c r="C30" s="301"/>
      <c r="D30" s="10" t="s">
        <v>17</v>
      </c>
      <c r="E30" s="10"/>
      <c r="F30" s="10"/>
      <c r="G30" s="10"/>
      <c r="H30" s="10"/>
      <c r="I30" s="10"/>
      <c r="J30" s="10"/>
      <c r="K30" s="10"/>
      <c r="L30" s="10"/>
      <c r="M30" s="10"/>
      <c r="N30" s="10"/>
      <c r="O30" s="10"/>
    </row>
    <row r="31" spans="2:15" x14ac:dyDescent="0.25">
      <c r="B31" s="263"/>
      <c r="C31" s="10"/>
      <c r="D31" s="263"/>
      <c r="E31" s="10"/>
      <c r="F31" s="10"/>
      <c r="G31" s="10"/>
      <c r="H31" s="10"/>
      <c r="I31" s="10"/>
      <c r="J31" s="10"/>
      <c r="K31" s="10"/>
      <c r="L31" s="10"/>
      <c r="M31" s="10"/>
      <c r="N31" s="10"/>
      <c r="O31" s="10"/>
    </row>
    <row r="32" spans="2:15" x14ac:dyDescent="0.25">
      <c r="B32" s="307">
        <v>1234</v>
      </c>
      <c r="C32" s="10"/>
      <c r="D32" s="10" t="s">
        <v>18</v>
      </c>
      <c r="E32" s="10"/>
      <c r="F32" s="10"/>
      <c r="G32" s="10"/>
      <c r="H32" s="10"/>
      <c r="I32" s="10"/>
      <c r="J32" s="10"/>
      <c r="K32" s="10"/>
      <c r="L32" s="10"/>
      <c r="M32" s="10"/>
      <c r="N32" s="10"/>
      <c r="O32" s="10"/>
    </row>
    <row r="33" spans="2:20" x14ac:dyDescent="0.25">
      <c r="B33" s="198"/>
      <c r="C33" s="10"/>
      <c r="D33" s="263"/>
      <c r="E33" s="10"/>
      <c r="F33" s="10"/>
      <c r="G33" s="10"/>
      <c r="H33" s="10"/>
      <c r="I33" s="10"/>
      <c r="J33" s="10"/>
      <c r="K33" s="10"/>
      <c r="L33" s="10"/>
      <c r="M33" s="10"/>
      <c r="N33" s="10"/>
      <c r="O33" s="10"/>
    </row>
    <row r="34" spans="2:20" x14ac:dyDescent="0.25">
      <c r="B34" s="308">
        <v>1234</v>
      </c>
      <c r="C34" s="10"/>
      <c r="D34" s="10" t="s">
        <v>19</v>
      </c>
      <c r="E34" s="10"/>
      <c r="F34" s="10"/>
      <c r="G34" s="10"/>
      <c r="H34" s="10"/>
      <c r="I34" s="10"/>
      <c r="J34" s="10"/>
      <c r="K34" s="10"/>
      <c r="L34" s="10"/>
      <c r="M34" s="10"/>
      <c r="N34" s="10"/>
      <c r="O34" s="10"/>
    </row>
    <row r="35" spans="2:20" x14ac:dyDescent="0.25">
      <c r="B35" s="263"/>
      <c r="C35" s="10"/>
      <c r="D35" s="263"/>
      <c r="E35" s="10"/>
      <c r="F35" s="10"/>
      <c r="G35" s="10"/>
      <c r="H35" s="10"/>
      <c r="I35" s="10"/>
      <c r="J35" s="10"/>
      <c r="K35" s="10"/>
      <c r="L35" s="10"/>
      <c r="M35" s="10"/>
      <c r="N35" s="10"/>
      <c r="O35" s="10"/>
    </row>
    <row r="36" spans="2:20" x14ac:dyDescent="0.25">
      <c r="B36" s="309">
        <v>1234</v>
      </c>
      <c r="C36" s="10"/>
      <c r="D36" s="10" t="s">
        <v>20</v>
      </c>
      <c r="E36" s="10"/>
      <c r="F36" s="10"/>
      <c r="G36" s="10"/>
      <c r="H36" s="10"/>
      <c r="I36" s="10"/>
      <c r="J36" s="10"/>
      <c r="K36" s="10"/>
      <c r="L36" s="10"/>
      <c r="M36" s="10"/>
      <c r="N36" s="10"/>
      <c r="O36" s="10"/>
    </row>
    <row r="37" spans="2:20" x14ac:dyDescent="0.25">
      <c r="B37" s="10"/>
      <c r="C37" s="10"/>
      <c r="D37" s="10"/>
      <c r="E37" s="10"/>
      <c r="F37" s="10"/>
      <c r="G37" s="10"/>
      <c r="H37" s="10"/>
      <c r="I37" s="10"/>
      <c r="J37" s="10"/>
      <c r="K37" s="10"/>
      <c r="L37" s="10"/>
      <c r="M37" s="10"/>
      <c r="N37" s="10"/>
      <c r="O37" s="10"/>
    </row>
    <row r="38" spans="2:20" x14ac:dyDescent="0.25">
      <c r="B38" s="700"/>
      <c r="C38" s="10"/>
      <c r="D38" s="10" t="s">
        <v>541</v>
      </c>
      <c r="E38" s="10"/>
      <c r="F38" s="10"/>
      <c r="G38" s="10"/>
      <c r="H38" s="10"/>
      <c r="I38" s="10"/>
      <c r="J38" s="10"/>
      <c r="K38" s="10"/>
      <c r="L38" s="10"/>
      <c r="M38" s="10"/>
      <c r="N38" s="10"/>
      <c r="O38" s="10"/>
    </row>
    <row r="39" spans="2:20" x14ac:dyDescent="0.25">
      <c r="B39" s="264"/>
      <c r="C39" s="10"/>
      <c r="D39" s="10"/>
      <c r="E39" s="10"/>
      <c r="F39" s="10"/>
      <c r="G39" s="10"/>
      <c r="H39" s="10"/>
      <c r="I39" s="10"/>
      <c r="J39" s="10"/>
      <c r="K39" s="10"/>
      <c r="L39" s="10"/>
      <c r="M39" s="10"/>
      <c r="N39" s="10"/>
      <c r="O39" s="10"/>
    </row>
    <row r="40" spans="2:20" s="8" customFormat="1" x14ac:dyDescent="0.25">
      <c r="B40" s="294" t="s">
        <v>21</v>
      </c>
      <c r="C40" s="294"/>
      <c r="D40" s="310"/>
      <c r="E40" s="310"/>
      <c r="F40" s="310"/>
      <c r="G40" s="310"/>
      <c r="H40" s="310"/>
      <c r="I40" s="310"/>
      <c r="J40" s="310"/>
      <c r="K40" s="310"/>
      <c r="L40" s="310"/>
      <c r="M40" s="310"/>
      <c r="N40" s="310"/>
      <c r="O40" s="310"/>
      <c r="T40" s="9"/>
    </row>
    <row r="41" spans="2:20" x14ac:dyDescent="0.25">
      <c r="B41" s="10"/>
      <c r="C41" s="12"/>
      <c r="D41" s="10"/>
      <c r="E41" s="10"/>
      <c r="F41" s="10"/>
      <c r="G41" s="10"/>
      <c r="H41" s="10"/>
      <c r="I41" s="10"/>
      <c r="J41" s="10"/>
      <c r="K41" s="10"/>
      <c r="L41" s="10"/>
      <c r="M41" s="10"/>
      <c r="N41" s="10"/>
      <c r="O41" s="10"/>
    </row>
    <row r="42" spans="2:20" x14ac:dyDescent="0.25">
      <c r="B42" s="298" t="s">
        <v>22</v>
      </c>
      <c r="C42" s="10"/>
      <c r="D42" s="12" t="s">
        <v>23</v>
      </c>
      <c r="E42" s="12" t="s">
        <v>24</v>
      </c>
      <c r="F42" s="10"/>
      <c r="G42" s="10"/>
      <c r="H42" s="10"/>
      <c r="I42" s="10"/>
      <c r="J42" s="10"/>
      <c r="K42" s="10"/>
      <c r="L42" s="10"/>
      <c r="M42" s="10"/>
      <c r="N42" s="10"/>
      <c r="O42" s="10"/>
    </row>
    <row r="43" spans="2:20" x14ac:dyDescent="0.25">
      <c r="B43" s="10"/>
      <c r="C43" s="10"/>
      <c r="D43" s="10"/>
      <c r="E43" s="10"/>
      <c r="F43" s="10"/>
      <c r="G43" s="10"/>
      <c r="H43" s="10"/>
      <c r="I43" s="10"/>
      <c r="J43" s="10"/>
      <c r="K43" s="10"/>
      <c r="L43" s="10"/>
      <c r="M43" s="10"/>
      <c r="N43" s="10"/>
      <c r="O43" s="10"/>
    </row>
    <row r="44" spans="2:20" x14ac:dyDescent="0.25">
      <c r="B44" s="311">
        <v>14</v>
      </c>
      <c r="C44" s="10"/>
      <c r="D44" s="301">
        <v>42579</v>
      </c>
      <c r="E44" s="10" t="s">
        <v>543</v>
      </c>
      <c r="F44" s="10"/>
      <c r="G44" s="10"/>
      <c r="H44" s="10"/>
      <c r="I44" s="10"/>
      <c r="J44" s="10"/>
      <c r="K44" s="10"/>
      <c r="L44" s="10"/>
      <c r="M44" s="10"/>
      <c r="N44" s="10"/>
      <c r="O44" s="10"/>
    </row>
    <row r="45" spans="2:20" x14ac:dyDescent="0.25">
      <c r="B45" s="10"/>
      <c r="C45" s="10"/>
      <c r="D45" s="10"/>
      <c r="E45" s="10"/>
      <c r="F45" s="10"/>
      <c r="G45" s="10"/>
      <c r="H45" s="10"/>
      <c r="I45" s="10"/>
      <c r="J45" s="10"/>
      <c r="K45" s="10"/>
      <c r="L45" s="10"/>
      <c r="M45" s="10"/>
      <c r="N45" s="10"/>
      <c r="O45" s="10"/>
    </row>
    <row r="46" spans="2:20" x14ac:dyDescent="0.25">
      <c r="C46" s="1"/>
    </row>
    <row r="47" spans="2:20" x14ac:dyDescent="0.25">
      <c r="C47" s="1"/>
    </row>
    <row r="48" spans="2:20" x14ac:dyDescent="0.25">
      <c r="C48" s="1"/>
    </row>
    <row r="86" spans="2:2" x14ac:dyDescent="0.25">
      <c r="B86" s="7"/>
    </row>
    <row r="121" spans="2:2" x14ac:dyDescent="0.25">
      <c r="B121" s="7"/>
    </row>
    <row r="156" spans="2:2" x14ac:dyDescent="0.25">
      <c r="B156" s="7"/>
    </row>
  </sheetData>
  <pageMargins left="0.7" right="0.7" top="0.75" bottom="0.75" header="0.3" footer="0.3"/>
  <pageSetup paperSize="9"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CC366"/>
  <sheetViews>
    <sheetView showGridLines="0" zoomScale="60" zoomScaleNormal="60" workbookViewId="0">
      <pane xSplit="8" ySplit="6" topLeftCell="I7" activePane="bottomRight" state="frozen"/>
      <selection pane="topRight" activeCell="I1" sqref="I1"/>
      <selection pane="bottomLeft" activeCell="A7" sqref="A7"/>
      <selection pane="bottomRight" activeCell="I7" sqref="I7"/>
    </sheetView>
  </sheetViews>
  <sheetFormatPr defaultRowHeight="15" outlineLevelRow="1" outlineLevelCol="1" x14ac:dyDescent="0.25"/>
  <cols>
    <col min="1" max="1" width="4.28515625" style="109" customWidth="1"/>
    <col min="2" max="2" width="8.28515625" style="134" hidden="1" customWidth="1"/>
    <col min="3" max="3" width="12.85546875" style="134" hidden="1" customWidth="1"/>
    <col min="4" max="4" width="20.85546875" style="134" customWidth="1"/>
    <col min="5" max="5" width="37.7109375" style="134" bestFit="1" customWidth="1"/>
    <col min="6" max="6" width="5.85546875" style="134" bestFit="1" customWidth="1"/>
    <col min="7" max="7" width="14.85546875" style="138" bestFit="1" customWidth="1"/>
    <col min="8" max="8" width="57.7109375" style="134" customWidth="1"/>
    <col min="9" max="9" width="65.140625" style="134" customWidth="1"/>
    <col min="10" max="10" width="3.7109375" style="135" customWidth="1"/>
    <col min="11" max="11" width="26.28515625" style="134" customWidth="1"/>
    <col min="12" max="12" width="26.7109375" style="134" customWidth="1"/>
    <col min="13" max="13" width="27.28515625" style="134" customWidth="1"/>
    <col min="14" max="14" width="4.140625" style="135" customWidth="1"/>
    <col min="15" max="15" width="50.7109375" style="134" customWidth="1" outlineLevel="1"/>
    <col min="16" max="16" width="4.140625" customWidth="1" outlineLevel="1"/>
    <col min="17" max="17" width="6.140625" style="135" customWidth="1" outlineLevel="1"/>
    <col min="18" max="18" width="4.140625" style="135" customWidth="1" outlineLevel="1"/>
    <col min="19" max="19" width="9.140625" style="134" customWidth="1" outlineLevel="1"/>
    <col min="20" max="20" width="11" style="134" customWidth="1" outlineLevel="1"/>
    <col min="21" max="27" width="9.140625" style="134" customWidth="1" outlineLevel="1"/>
    <col min="28" max="28" width="7" style="135" customWidth="1"/>
    <col min="29" max="29" width="50.7109375" style="134" customWidth="1" outlineLevel="1"/>
    <col min="30" max="30" width="3.28515625" style="135" customWidth="1" outlineLevel="1"/>
    <col min="31" max="31" width="5.85546875" style="135" customWidth="1" outlineLevel="1"/>
    <col min="32" max="32" width="3.5703125" style="134" customWidth="1" outlineLevel="1"/>
    <col min="33" max="36" width="10.140625" style="134" customWidth="1" outlineLevel="1"/>
    <col min="37" max="37" width="8.28515625" style="134" customWidth="1" outlineLevel="1"/>
    <col min="38" max="38" width="9.28515625" style="134" customWidth="1" outlineLevel="1"/>
    <col min="39" max="39" width="11" style="134" customWidth="1" outlineLevel="1"/>
    <col min="40" max="40" width="9.28515625" style="134" customWidth="1" outlineLevel="1"/>
    <col min="41" max="41" width="11.5703125" style="134" customWidth="1" outlineLevel="1"/>
    <col min="42" max="42" width="8" style="135" customWidth="1"/>
    <col min="43" max="43" width="8" style="268" customWidth="1"/>
    <col min="44" max="44" width="50.7109375" style="134" customWidth="1"/>
    <col min="45" max="45" width="5.28515625" style="135" customWidth="1"/>
    <col min="46" max="46" width="6.5703125" style="135" customWidth="1" outlineLevel="1"/>
    <col min="47" max="47" width="3.140625" style="134" customWidth="1" outlineLevel="1"/>
    <col min="48" max="51" width="11.140625" style="134" customWidth="1" outlineLevel="1"/>
    <col min="52" max="56" width="9.140625" style="134" customWidth="1" outlineLevel="1"/>
    <col min="57" max="57" width="3.42578125" style="135" customWidth="1"/>
    <col min="58" max="58" width="50.7109375" style="134" customWidth="1" outlineLevel="1"/>
    <col min="59" max="59" width="3.85546875" style="135" customWidth="1" outlineLevel="1"/>
    <col min="60" max="60" width="6.140625" style="135" customWidth="1" outlineLevel="1"/>
    <col min="61" max="61" width="2.7109375" style="134" customWidth="1" outlineLevel="1"/>
    <col min="62" max="62" width="11.42578125" style="134" customWidth="1" outlineLevel="1"/>
    <col min="63" max="65" width="10.140625" style="134" customWidth="1" outlineLevel="1"/>
    <col min="66" max="66" width="9.42578125" style="134" customWidth="1" outlineLevel="1"/>
    <col min="67" max="67" width="9.140625" style="134" customWidth="1" outlineLevel="1"/>
    <col min="68" max="68" width="10.5703125" style="134" customWidth="1" outlineLevel="1"/>
    <col min="69" max="69" width="9.140625" style="134" customWidth="1" outlineLevel="1"/>
    <col min="70" max="70" width="10.5703125" style="134" customWidth="1" outlineLevel="1"/>
    <col min="71" max="16384" width="9.140625" style="134"/>
  </cols>
  <sheetData>
    <row r="1" spans="1:71" s="133" customFormat="1" ht="12" customHeight="1" x14ac:dyDescent="0.2">
      <c r="A1" s="389"/>
      <c r="B1" s="10"/>
      <c r="C1" s="10"/>
      <c r="D1" s="10"/>
      <c r="E1" s="10"/>
      <c r="F1" s="17"/>
      <c r="G1" s="17"/>
      <c r="H1" s="17"/>
      <c r="I1" s="17"/>
      <c r="J1" s="390"/>
      <c r="K1" s="17"/>
      <c r="L1" s="17"/>
      <c r="M1" s="17"/>
      <c r="N1" s="390"/>
      <c r="O1" s="17"/>
      <c r="P1" s="390"/>
      <c r="Q1" s="751" t="s">
        <v>364</v>
      </c>
      <c r="R1" s="390"/>
      <c r="S1" s="17"/>
      <c r="T1" s="17"/>
      <c r="U1" s="17"/>
      <c r="V1" s="17"/>
      <c r="W1" s="17"/>
      <c r="X1" s="17"/>
      <c r="Y1" s="17"/>
      <c r="Z1" s="17"/>
      <c r="AA1" s="390"/>
      <c r="AB1" s="390"/>
      <c r="AC1" s="17"/>
      <c r="AD1" s="390"/>
      <c r="AE1" s="751" t="s">
        <v>364</v>
      </c>
      <c r="AF1" s="17"/>
      <c r="AG1" s="15"/>
      <c r="AH1" s="10"/>
      <c r="AI1" s="10"/>
      <c r="AJ1" s="10"/>
      <c r="AK1" s="10"/>
      <c r="AL1" s="10"/>
      <c r="AM1" s="10"/>
      <c r="AN1" s="10"/>
      <c r="AO1" s="10"/>
      <c r="AP1" s="15"/>
      <c r="AQ1" s="15"/>
      <c r="AR1" s="17"/>
      <c r="AS1" s="390"/>
      <c r="AT1" s="751" t="s">
        <v>364</v>
      </c>
      <c r="AU1" s="17"/>
      <c r="AV1" s="15"/>
      <c r="AW1" s="10"/>
      <c r="AX1" s="10"/>
      <c r="AY1" s="10"/>
      <c r="AZ1" s="10"/>
      <c r="BA1" s="10"/>
      <c r="BB1" s="10"/>
      <c r="BC1" s="10"/>
      <c r="BD1" s="10"/>
      <c r="BE1" s="15"/>
      <c r="BF1" s="17"/>
      <c r="BG1" s="390"/>
      <c r="BH1" s="751" t="s">
        <v>364</v>
      </c>
      <c r="BI1" s="17"/>
      <c r="BJ1" s="15"/>
      <c r="BK1" s="10"/>
      <c r="BL1" s="10"/>
      <c r="BM1" s="10"/>
      <c r="BN1" s="10"/>
      <c r="BO1" s="10"/>
      <c r="BP1" s="10"/>
      <c r="BQ1" s="10"/>
      <c r="BR1" s="10"/>
      <c r="BS1" s="10"/>
    </row>
    <row r="2" spans="1:71" s="133" customFormat="1" ht="12.75" x14ac:dyDescent="0.2">
      <c r="A2" s="389"/>
      <c r="B2" s="10"/>
      <c r="C2" s="10"/>
      <c r="D2" s="10" t="s">
        <v>0</v>
      </c>
      <c r="E2" s="12" t="str">
        <f ca="1">MID(CELL("filename",A1),FIND("]",CELL("filename",A1))+1,256)</f>
        <v>Inputs_Delivery_Effort</v>
      </c>
      <c r="F2" s="17"/>
      <c r="G2" s="12"/>
      <c r="H2" s="81"/>
      <c r="I2" s="17"/>
      <c r="J2" s="391"/>
      <c r="K2" s="17"/>
      <c r="L2" s="17"/>
      <c r="M2" s="17"/>
      <c r="N2" s="390"/>
      <c r="O2" s="392"/>
      <c r="P2" s="390"/>
      <c r="Q2" s="751"/>
      <c r="R2" s="390"/>
      <c r="S2" s="81"/>
      <c r="T2" s="17"/>
      <c r="U2" s="17"/>
      <c r="V2" s="17"/>
      <c r="W2" s="17"/>
      <c r="X2" s="17"/>
      <c r="Y2" s="17"/>
      <c r="Z2" s="17"/>
      <c r="AA2" s="390"/>
      <c r="AB2" s="390"/>
      <c r="AC2" s="17"/>
      <c r="AD2" s="390"/>
      <c r="AE2" s="751"/>
      <c r="AF2" s="17"/>
      <c r="AG2" s="15"/>
      <c r="AH2" s="10"/>
      <c r="AI2" s="10"/>
      <c r="AJ2" s="10"/>
      <c r="AK2" s="10"/>
      <c r="AL2" s="10"/>
      <c r="AM2" s="10"/>
      <c r="AN2" s="10"/>
      <c r="AO2" s="10"/>
      <c r="AP2" s="15"/>
      <c r="AQ2" s="15"/>
      <c r="AR2" s="17"/>
      <c r="AS2" s="390"/>
      <c r="AT2" s="751"/>
      <c r="AU2" s="17"/>
      <c r="AV2" s="15"/>
      <c r="AW2" s="10"/>
      <c r="AX2" s="10"/>
      <c r="AY2" s="10"/>
      <c r="AZ2" s="10"/>
      <c r="BA2" s="10"/>
      <c r="BB2" s="10"/>
      <c r="BC2" s="10"/>
      <c r="BD2" s="10"/>
      <c r="BE2" s="15"/>
      <c r="BF2" s="17"/>
      <c r="BG2" s="390"/>
      <c r="BH2" s="751"/>
      <c r="BI2" s="17"/>
      <c r="BJ2" s="15"/>
      <c r="BK2" s="10"/>
      <c r="BL2" s="300"/>
      <c r="BM2" s="10"/>
      <c r="BN2" s="10"/>
      <c r="BO2" s="10"/>
      <c r="BP2" s="10"/>
      <c r="BQ2" s="10"/>
      <c r="BR2" s="10"/>
      <c r="BS2" s="10"/>
    </row>
    <row r="3" spans="1:71" s="133" customFormat="1" ht="12.75" x14ac:dyDescent="0.2">
      <c r="A3" s="389"/>
      <c r="B3" s="10"/>
      <c r="C3" s="10"/>
      <c r="D3" s="10" t="s">
        <v>1</v>
      </c>
      <c r="E3" s="726" t="s">
        <v>443</v>
      </c>
      <c r="F3" s="726"/>
      <c r="G3" s="726"/>
      <c r="H3" s="726"/>
      <c r="I3" s="17"/>
      <c r="J3" s="391"/>
      <c r="K3" s="17"/>
      <c r="L3" s="17"/>
      <c r="M3" s="17"/>
      <c r="N3" s="390"/>
      <c r="O3" s="392"/>
      <c r="P3" s="390"/>
      <c r="Q3" s="751"/>
      <c r="R3" s="390"/>
      <c r="S3" s="17"/>
      <c r="T3" s="17"/>
      <c r="U3" s="17"/>
      <c r="V3" s="17"/>
      <c r="W3" s="17"/>
      <c r="X3" s="17"/>
      <c r="Y3" s="17"/>
      <c r="Z3" s="17"/>
      <c r="AA3" s="390"/>
      <c r="AB3" s="390"/>
      <c r="AC3" s="17"/>
      <c r="AD3" s="390"/>
      <c r="AE3" s="751"/>
      <c r="AF3" s="17"/>
      <c r="AG3" s="15"/>
      <c r="AH3" s="10"/>
      <c r="AI3" s="10"/>
      <c r="AJ3" s="10"/>
      <c r="AK3" s="10"/>
      <c r="AL3" s="10"/>
      <c r="AM3" s="10"/>
      <c r="AN3" s="10"/>
      <c r="AO3" s="10"/>
      <c r="AP3" s="15"/>
      <c r="AQ3" s="15"/>
      <c r="AR3" s="17"/>
      <c r="AS3" s="390"/>
      <c r="AT3" s="751"/>
      <c r="AU3" s="17"/>
      <c r="AV3" s="15"/>
      <c r="AW3" s="10"/>
      <c r="AX3" s="10"/>
      <c r="AY3" s="10"/>
      <c r="AZ3" s="10"/>
      <c r="BA3" s="10"/>
      <c r="BB3" s="10"/>
      <c r="BC3" s="10"/>
      <c r="BD3" s="10"/>
      <c r="BE3" s="15"/>
      <c r="BF3" s="17"/>
      <c r="BG3" s="390"/>
      <c r="BH3" s="751"/>
      <c r="BI3" s="17"/>
      <c r="BJ3" s="15"/>
      <c r="BK3" s="10"/>
      <c r="BL3" s="10"/>
      <c r="BM3" s="10"/>
      <c r="BN3" s="10"/>
      <c r="BO3" s="10"/>
      <c r="BP3" s="10"/>
      <c r="BQ3" s="10"/>
      <c r="BR3" s="10"/>
      <c r="BS3" s="10"/>
    </row>
    <row r="4" spans="1:71" s="133" customFormat="1" ht="30" customHeight="1" thickBot="1" x14ac:dyDescent="0.25">
      <c r="A4" s="389"/>
      <c r="B4" s="10"/>
      <c r="C4" s="10"/>
      <c r="D4" s="10"/>
      <c r="E4" s="726"/>
      <c r="F4" s="726"/>
      <c r="G4" s="726"/>
      <c r="H4" s="726"/>
      <c r="I4" s="17"/>
      <c r="J4" s="390"/>
      <c r="K4" s="17"/>
      <c r="L4" s="17"/>
      <c r="M4" s="17"/>
      <c r="N4" s="390"/>
      <c r="O4" s="17"/>
      <c r="P4" s="390"/>
      <c r="Q4" s="751"/>
      <c r="R4" s="390"/>
      <c r="S4" s="750" t="s">
        <v>176</v>
      </c>
      <c r="T4" s="750"/>
      <c r="U4" s="750"/>
      <c r="V4" s="750"/>
      <c r="W4" s="750"/>
      <c r="X4" s="750"/>
      <c r="Y4" s="750"/>
      <c r="Z4" s="750"/>
      <c r="AA4" s="750"/>
      <c r="AB4" s="390"/>
      <c r="AC4" s="17"/>
      <c r="AD4" s="390"/>
      <c r="AE4" s="751"/>
      <c r="AF4" s="17"/>
      <c r="AG4" s="750" t="s">
        <v>177</v>
      </c>
      <c r="AH4" s="750"/>
      <c r="AI4" s="750"/>
      <c r="AJ4" s="750"/>
      <c r="AK4" s="750"/>
      <c r="AL4" s="750"/>
      <c r="AM4" s="750"/>
      <c r="AN4" s="750"/>
      <c r="AO4" s="750"/>
      <c r="AP4" s="15"/>
      <c r="AQ4" s="15"/>
      <c r="AR4" s="17"/>
      <c r="AS4" s="390"/>
      <c r="AT4" s="751"/>
      <c r="AU4" s="17"/>
      <c r="AV4" s="750" t="s">
        <v>178</v>
      </c>
      <c r="AW4" s="750"/>
      <c r="AX4" s="750"/>
      <c r="AY4" s="750"/>
      <c r="AZ4" s="750"/>
      <c r="BA4" s="750"/>
      <c r="BB4" s="750"/>
      <c r="BC4" s="750"/>
      <c r="BD4" s="750"/>
      <c r="BE4" s="15"/>
      <c r="BF4" s="17"/>
      <c r="BG4" s="390"/>
      <c r="BH4" s="751"/>
      <c r="BI4" s="17"/>
      <c r="BJ4" s="750" t="s">
        <v>179</v>
      </c>
      <c r="BK4" s="750"/>
      <c r="BL4" s="750"/>
      <c r="BM4" s="750"/>
      <c r="BN4" s="750"/>
      <c r="BO4" s="750"/>
      <c r="BP4" s="750"/>
      <c r="BQ4" s="750"/>
      <c r="BR4" s="750"/>
      <c r="BS4" s="10"/>
    </row>
    <row r="5" spans="1:71" ht="13.5" thickTop="1" x14ac:dyDescent="0.2">
      <c r="A5" s="389"/>
      <c r="B5" s="263"/>
      <c r="C5" s="393" t="s">
        <v>115</v>
      </c>
      <c r="D5" s="263"/>
      <c r="E5" s="263"/>
      <c r="F5" s="263"/>
      <c r="G5" s="263"/>
      <c r="H5" s="263"/>
      <c r="I5" s="263"/>
      <c r="J5" s="264"/>
      <c r="K5" s="710" t="s">
        <v>230</v>
      </c>
      <c r="L5" s="710"/>
      <c r="M5" s="263"/>
      <c r="N5" s="264"/>
      <c r="O5" s="263"/>
      <c r="P5" s="264"/>
      <c r="Q5" s="751"/>
      <c r="R5" s="264"/>
      <c r="S5" s="710" t="s">
        <v>83</v>
      </c>
      <c r="T5" s="710"/>
      <c r="U5" s="710"/>
      <c r="V5" s="710"/>
      <c r="W5" s="263"/>
      <c r="X5" s="263"/>
      <c r="Y5" s="263"/>
      <c r="Z5" s="263"/>
      <c r="AA5" s="264"/>
      <c r="AB5" s="264" t="s">
        <v>236</v>
      </c>
      <c r="AC5" s="263"/>
      <c r="AD5" s="264"/>
      <c r="AE5" s="751"/>
      <c r="AF5" s="263"/>
      <c r="AG5" s="710" t="s">
        <v>83</v>
      </c>
      <c r="AH5" s="710"/>
      <c r="AI5" s="710"/>
      <c r="AJ5" s="710"/>
      <c r="AK5" s="263"/>
      <c r="AL5" s="263"/>
      <c r="AM5" s="263"/>
      <c r="AN5" s="263"/>
      <c r="AO5" s="264"/>
      <c r="AP5" s="264"/>
      <c r="AQ5" s="264"/>
      <c r="AR5" s="263"/>
      <c r="AS5" s="264"/>
      <c r="AT5" s="751"/>
      <c r="AU5" s="263"/>
      <c r="AV5" s="710" t="s">
        <v>83</v>
      </c>
      <c r="AW5" s="710"/>
      <c r="AX5" s="710"/>
      <c r="AY5" s="710"/>
      <c r="AZ5" s="263"/>
      <c r="BA5" s="263"/>
      <c r="BB5" s="263"/>
      <c r="BC5" s="263"/>
      <c r="BD5" s="264"/>
      <c r="BE5" s="264"/>
      <c r="BF5" s="263"/>
      <c r="BG5" s="264"/>
      <c r="BH5" s="751"/>
      <c r="BI5" s="263"/>
      <c r="BJ5" s="710" t="s">
        <v>83</v>
      </c>
      <c r="BK5" s="710"/>
      <c r="BL5" s="710"/>
      <c r="BM5" s="710"/>
      <c r="BN5" s="263"/>
      <c r="BO5" s="263"/>
      <c r="BP5" s="263"/>
      <c r="BQ5" s="263"/>
      <c r="BR5" s="264"/>
      <c r="BS5" s="263"/>
    </row>
    <row r="6" spans="1:71" s="137" customFormat="1" ht="25.5" x14ac:dyDescent="0.2">
      <c r="A6" s="394"/>
      <c r="B6" s="395" t="s">
        <v>104</v>
      </c>
      <c r="C6" s="19" t="s">
        <v>105</v>
      </c>
      <c r="D6" s="19"/>
      <c r="E6" s="19" t="s">
        <v>106</v>
      </c>
      <c r="F6" s="19" t="s">
        <v>107</v>
      </c>
      <c r="G6" s="19"/>
      <c r="H6" s="19" t="s">
        <v>12</v>
      </c>
      <c r="I6" s="19" t="s">
        <v>158</v>
      </c>
      <c r="J6" s="24"/>
      <c r="K6" s="19" t="s">
        <v>288</v>
      </c>
      <c r="L6" s="19" t="s">
        <v>286</v>
      </c>
      <c r="M6" s="19" t="s">
        <v>53</v>
      </c>
      <c r="N6" s="24"/>
      <c r="O6" s="19" t="s">
        <v>110</v>
      </c>
      <c r="P6" s="24"/>
      <c r="Q6" s="751"/>
      <c r="R6" s="24"/>
      <c r="S6" s="19" t="s">
        <v>59</v>
      </c>
      <c r="T6" s="19" t="s">
        <v>62</v>
      </c>
      <c r="U6" s="19" t="s">
        <v>56</v>
      </c>
      <c r="V6" s="19" t="s">
        <v>72</v>
      </c>
      <c r="W6" s="19" t="s">
        <v>46</v>
      </c>
      <c r="X6" s="19" t="s">
        <v>79</v>
      </c>
      <c r="Y6" s="19" t="s">
        <v>82</v>
      </c>
      <c r="Z6" s="19" t="s">
        <v>81</v>
      </c>
      <c r="AA6" s="19" t="s">
        <v>90</v>
      </c>
      <c r="AB6" s="24"/>
      <c r="AC6" s="19" t="s">
        <v>110</v>
      </c>
      <c r="AD6" s="24"/>
      <c r="AE6" s="751"/>
      <c r="AF6" s="19"/>
      <c r="AG6" s="19" t="s">
        <v>59</v>
      </c>
      <c r="AH6" s="19" t="s">
        <v>62</v>
      </c>
      <c r="AI6" s="19" t="s">
        <v>56</v>
      </c>
      <c r="AJ6" s="19" t="s">
        <v>72</v>
      </c>
      <c r="AK6" s="19" t="s">
        <v>46</v>
      </c>
      <c r="AL6" s="19" t="s">
        <v>79</v>
      </c>
      <c r="AM6" s="19" t="s">
        <v>82</v>
      </c>
      <c r="AN6" s="19" t="s">
        <v>81</v>
      </c>
      <c r="AO6" s="19" t="s">
        <v>90</v>
      </c>
      <c r="AP6" s="24"/>
      <c r="AQ6" s="24"/>
      <c r="AR6" s="19" t="s">
        <v>110</v>
      </c>
      <c r="AS6" s="24"/>
      <c r="AT6" s="751"/>
      <c r="AU6" s="19"/>
      <c r="AV6" s="19" t="s">
        <v>59</v>
      </c>
      <c r="AW6" s="19" t="s">
        <v>62</v>
      </c>
      <c r="AX6" s="19" t="s">
        <v>56</v>
      </c>
      <c r="AY6" s="19" t="s">
        <v>72</v>
      </c>
      <c r="AZ6" s="19" t="s">
        <v>46</v>
      </c>
      <c r="BA6" s="19" t="s">
        <v>79</v>
      </c>
      <c r="BB6" s="19" t="s">
        <v>82</v>
      </c>
      <c r="BC6" s="19" t="s">
        <v>81</v>
      </c>
      <c r="BD6" s="19" t="s">
        <v>90</v>
      </c>
      <c r="BE6" s="24"/>
      <c r="BF6" s="19" t="s">
        <v>110</v>
      </c>
      <c r="BG6" s="24"/>
      <c r="BH6" s="751"/>
      <c r="BI6" s="19"/>
      <c r="BJ6" s="19" t="s">
        <v>59</v>
      </c>
      <c r="BK6" s="19" t="s">
        <v>62</v>
      </c>
      <c r="BL6" s="19" t="s">
        <v>56</v>
      </c>
      <c r="BM6" s="19" t="s">
        <v>72</v>
      </c>
      <c r="BN6" s="19" t="s">
        <v>46</v>
      </c>
      <c r="BO6" s="19" t="s">
        <v>79</v>
      </c>
      <c r="BP6" s="19" t="s">
        <v>82</v>
      </c>
      <c r="BQ6" s="19" t="s">
        <v>81</v>
      </c>
      <c r="BR6" s="19" t="s">
        <v>90</v>
      </c>
      <c r="BS6" s="24"/>
    </row>
    <row r="7" spans="1:71" ht="12.75" x14ac:dyDescent="0.2">
      <c r="A7" s="312"/>
      <c r="B7" s="263"/>
      <c r="C7" s="263"/>
      <c r="D7" s="263"/>
      <c r="E7" s="263"/>
      <c r="F7" s="263"/>
      <c r="G7" s="263"/>
      <c r="H7" s="263"/>
      <c r="I7" s="263"/>
      <c r="J7" s="264"/>
      <c r="K7" s="263"/>
      <c r="L7" s="263"/>
      <c r="M7" s="263"/>
      <c r="N7" s="264"/>
      <c r="O7" s="263"/>
      <c r="P7" s="264"/>
      <c r="Q7" s="264"/>
      <c r="R7" s="264"/>
      <c r="S7" s="263"/>
      <c r="T7" s="263"/>
      <c r="U7" s="263"/>
      <c r="V7" s="263"/>
      <c r="W7" s="263"/>
      <c r="X7" s="263"/>
      <c r="Y7" s="263"/>
      <c r="Z7" s="263"/>
      <c r="AA7" s="263"/>
      <c r="AB7" s="264"/>
      <c r="AC7" s="263"/>
      <c r="AD7" s="264"/>
      <c r="AE7" s="264"/>
      <c r="AF7" s="263"/>
      <c r="AG7" s="263"/>
      <c r="AH7" s="263"/>
      <c r="AI7" s="263"/>
      <c r="AJ7" s="263"/>
      <c r="AK7" s="263"/>
      <c r="AL7" s="263"/>
      <c r="AM7" s="263"/>
      <c r="AN7" s="263"/>
      <c r="AO7" s="263"/>
      <c r="AP7" s="264"/>
      <c r="AQ7" s="264"/>
      <c r="AR7" s="263"/>
      <c r="AS7" s="264"/>
      <c r="AT7" s="264"/>
      <c r="AU7" s="263"/>
      <c r="AV7" s="263"/>
      <c r="AW7" s="263"/>
      <c r="AX7" s="263"/>
      <c r="AY7" s="263"/>
      <c r="AZ7" s="263"/>
      <c r="BA7" s="263"/>
      <c r="BB7" s="263"/>
      <c r="BC7" s="263"/>
      <c r="BD7" s="263"/>
      <c r="BE7" s="264"/>
      <c r="BF7" s="263"/>
      <c r="BG7" s="264"/>
      <c r="BH7" s="264"/>
      <c r="BI7" s="263"/>
      <c r="BJ7" s="263"/>
      <c r="BK7" s="263"/>
      <c r="BL7" s="263"/>
      <c r="BM7" s="263"/>
      <c r="BN7" s="263"/>
      <c r="BO7" s="263"/>
      <c r="BP7" s="263"/>
      <c r="BQ7" s="263"/>
      <c r="BR7" s="263"/>
      <c r="BS7" s="263"/>
    </row>
    <row r="8" spans="1:71" ht="83.25" customHeight="1" x14ac:dyDescent="0.2">
      <c r="A8" s="312"/>
      <c r="B8" s="396"/>
      <c r="C8" s="396"/>
      <c r="D8" s="397" t="s">
        <v>159</v>
      </c>
      <c r="E8" s="396"/>
      <c r="F8" s="396"/>
      <c r="G8" s="396"/>
      <c r="H8" s="396"/>
      <c r="I8" s="396"/>
      <c r="J8" s="398"/>
      <c r="K8" s="399" t="s">
        <v>503</v>
      </c>
      <c r="L8" s="399" t="s">
        <v>504</v>
      </c>
      <c r="M8" s="396"/>
      <c r="N8" s="398"/>
      <c r="O8" s="396"/>
      <c r="P8" s="398"/>
      <c r="Q8" s="398"/>
      <c r="R8" s="398"/>
      <c r="S8" s="396"/>
      <c r="T8" s="396"/>
      <c r="U8" s="396"/>
      <c r="V8" s="396"/>
      <c r="W8" s="396"/>
      <c r="X8" s="396"/>
      <c r="Y8" s="396"/>
      <c r="Z8" s="396"/>
      <c r="AA8" s="396"/>
      <c r="AB8" s="264"/>
      <c r="AC8" s="396"/>
      <c r="AD8" s="398"/>
      <c r="AE8" s="398"/>
      <c r="AF8" s="396"/>
      <c r="AG8" s="396"/>
      <c r="AH8" s="396"/>
      <c r="AI8" s="396"/>
      <c r="AJ8" s="396"/>
      <c r="AK8" s="396"/>
      <c r="AL8" s="396"/>
      <c r="AM8" s="396"/>
      <c r="AN8" s="396"/>
      <c r="AO8" s="396"/>
      <c r="AP8" s="264"/>
      <c r="AQ8" s="264"/>
      <c r="AR8" s="396"/>
      <c r="AS8" s="398"/>
      <c r="AT8" s="398"/>
      <c r="AU8" s="396"/>
      <c r="AV8" s="396"/>
      <c r="AW8" s="396"/>
      <c r="AX8" s="396"/>
      <c r="AY8" s="396"/>
      <c r="AZ8" s="396"/>
      <c r="BA8" s="396"/>
      <c r="BB8" s="396"/>
      <c r="BC8" s="396"/>
      <c r="BD8" s="396"/>
      <c r="BE8" s="264"/>
      <c r="BF8" s="396"/>
      <c r="BG8" s="398"/>
      <c r="BH8" s="398"/>
      <c r="BI8" s="396"/>
      <c r="BJ8" s="396"/>
      <c r="BK8" s="396"/>
      <c r="BL8" s="396"/>
      <c r="BM8" s="396"/>
      <c r="BN8" s="396"/>
      <c r="BO8" s="396"/>
      <c r="BP8" s="396"/>
      <c r="BQ8" s="396"/>
      <c r="BR8" s="396"/>
      <c r="BS8" s="263"/>
    </row>
    <row r="9" spans="1:71" ht="12.75" x14ac:dyDescent="0.2">
      <c r="A9" s="312"/>
      <c r="B9" s="263"/>
      <c r="C9" s="263"/>
      <c r="D9" s="263"/>
      <c r="E9" s="263"/>
      <c r="F9" s="263"/>
      <c r="G9" s="263"/>
      <c r="H9" s="263"/>
      <c r="I9" s="263"/>
      <c r="J9" s="264"/>
      <c r="K9" s="263"/>
      <c r="L9" s="263"/>
      <c r="M9" s="263"/>
      <c r="N9" s="264"/>
      <c r="O9" s="263"/>
      <c r="P9" s="264"/>
      <c r="Q9" s="264"/>
      <c r="R9" s="264"/>
      <c r="S9" s="263"/>
      <c r="T9" s="263"/>
      <c r="U9" s="263"/>
      <c r="V9" s="263"/>
      <c r="W9" s="263"/>
      <c r="X9" s="263"/>
      <c r="Y9" s="263"/>
      <c r="Z9" s="263"/>
      <c r="AA9" s="263"/>
      <c r="AB9" s="264"/>
      <c r="AC9" s="263"/>
      <c r="AD9" s="264"/>
      <c r="AE9" s="264"/>
      <c r="AF9" s="263"/>
      <c r="AG9" s="263"/>
      <c r="AH9" s="263"/>
      <c r="AI9" s="263"/>
      <c r="AJ9" s="263"/>
      <c r="AK9" s="263"/>
      <c r="AL9" s="263"/>
      <c r="AM9" s="263"/>
      <c r="AN9" s="263"/>
      <c r="AO9" s="263"/>
      <c r="AP9" s="264"/>
      <c r="AQ9" s="264"/>
      <c r="AR9" s="263"/>
      <c r="AS9" s="264"/>
      <c r="AT9" s="264"/>
      <c r="AU9" s="263"/>
      <c r="AV9" s="263"/>
      <c r="AW9" s="263"/>
      <c r="AX9" s="263"/>
      <c r="AY9" s="263"/>
      <c r="AZ9" s="263"/>
      <c r="BA9" s="263"/>
      <c r="BB9" s="263"/>
      <c r="BC9" s="263"/>
      <c r="BD9" s="263"/>
      <c r="BE9" s="264"/>
      <c r="BF9" s="263"/>
      <c r="BG9" s="264"/>
      <c r="BH9" s="264"/>
      <c r="BI9" s="263"/>
      <c r="BJ9" s="263"/>
      <c r="BK9" s="263"/>
      <c r="BL9" s="263"/>
      <c r="BM9" s="263"/>
      <c r="BN9" s="263"/>
      <c r="BO9" s="263"/>
      <c r="BP9" s="263"/>
      <c r="BQ9" s="263"/>
      <c r="BR9" s="263"/>
      <c r="BS9" s="263"/>
    </row>
    <row r="10" spans="1:71" ht="13.5" thickBot="1" x14ac:dyDescent="0.25">
      <c r="A10" s="312"/>
      <c r="B10" s="263"/>
      <c r="C10" s="263"/>
      <c r="D10" s="263"/>
      <c r="E10" s="22" t="s">
        <v>106</v>
      </c>
      <c r="F10" s="263"/>
      <c r="G10" s="263"/>
      <c r="H10" s="22" t="s">
        <v>12</v>
      </c>
      <c r="I10" s="263"/>
      <c r="J10" s="264"/>
      <c r="K10" s="263"/>
      <c r="L10" s="263"/>
      <c r="M10" s="263"/>
      <c r="N10" s="264"/>
      <c r="O10" s="263"/>
      <c r="P10" s="264"/>
      <c r="Q10" s="264"/>
      <c r="R10" s="264"/>
      <c r="S10" s="132"/>
      <c r="T10" s="148"/>
      <c r="U10" s="148"/>
      <c r="V10" s="148"/>
      <c r="W10" s="148"/>
      <c r="X10" s="148"/>
      <c r="Y10" s="148"/>
      <c r="Z10" s="148"/>
      <c r="AA10" s="148"/>
      <c r="AB10" s="264"/>
      <c r="AC10" s="263"/>
      <c r="AD10" s="264"/>
      <c r="AE10" s="264"/>
      <c r="AF10" s="263"/>
      <c r="AG10" s="263"/>
      <c r="AH10" s="263"/>
      <c r="AI10" s="263"/>
      <c r="AJ10" s="263"/>
      <c r="AK10" s="263"/>
      <c r="AL10" s="263"/>
      <c r="AM10" s="263"/>
      <c r="AN10" s="263"/>
      <c r="AO10" s="263"/>
      <c r="AP10" s="264"/>
      <c r="AQ10" s="264"/>
      <c r="AR10" s="263"/>
      <c r="AS10" s="264"/>
      <c r="AT10" s="264"/>
      <c r="AU10" s="263"/>
      <c r="AV10" s="263"/>
      <c r="AW10" s="263"/>
      <c r="AX10" s="263"/>
      <c r="AY10" s="263"/>
      <c r="AZ10" s="263"/>
      <c r="BA10" s="263"/>
      <c r="BB10" s="263"/>
      <c r="BC10" s="263"/>
      <c r="BD10" s="263"/>
      <c r="BE10" s="264"/>
      <c r="BF10" s="263"/>
      <c r="BG10" s="264"/>
      <c r="BH10" s="264"/>
      <c r="BI10" s="263"/>
      <c r="BJ10" s="263"/>
      <c r="BK10" s="263"/>
      <c r="BL10" s="263"/>
      <c r="BM10" s="263"/>
      <c r="BN10" s="263"/>
      <c r="BO10" s="263"/>
      <c r="BP10" s="263"/>
      <c r="BQ10" s="263"/>
      <c r="BR10" s="263"/>
      <c r="BS10" s="263"/>
    </row>
    <row r="11" spans="1:71" ht="24" customHeight="1" x14ac:dyDescent="0.2">
      <c r="A11" s="400"/>
      <c r="B11" s="401"/>
      <c r="C11" s="157"/>
      <c r="D11" s="402" t="s">
        <v>109</v>
      </c>
      <c r="E11" s="403" t="s">
        <v>175</v>
      </c>
      <c r="F11" s="404" t="s">
        <v>51</v>
      </c>
      <c r="G11" s="405" t="s">
        <v>50</v>
      </c>
      <c r="H11" s="406" t="s">
        <v>214</v>
      </c>
      <c r="I11" s="740" t="s">
        <v>254</v>
      </c>
      <c r="J11" s="407"/>
      <c r="K11" s="408">
        <f>Inputs_Estimates!$E$28</f>
        <v>0.2</v>
      </c>
      <c r="L11" s="408">
        <f>Inputs_Estimates!$F$28</f>
        <v>0.2</v>
      </c>
      <c r="M11" s="409"/>
      <c r="N11" s="93"/>
      <c r="O11" s="736" t="s">
        <v>383</v>
      </c>
      <c r="P11" s="93"/>
      <c r="Q11" s="93"/>
      <c r="R11" s="93"/>
      <c r="S11" s="410">
        <f t="shared" ref="S11:Y11" si="0">(1+CAPEX_Factor)*((SUMIFS(S$102:S$266,$E$102:$E$266,$E11,$H$102:$H$266,$H11)*(1-$K11))+(SUMIFS(S$271:S$364,$E$271:$E$364,$E11,$H$271:$H$364,$H11)*(1-$L11)))</f>
        <v>50.160000000000004</v>
      </c>
      <c r="T11" s="410">
        <f t="shared" si="0"/>
        <v>50.160000000000004</v>
      </c>
      <c r="U11" s="410">
        <f t="shared" si="0"/>
        <v>50.160000000000004</v>
      </c>
      <c r="V11" s="410">
        <f t="shared" si="0"/>
        <v>50.160000000000004</v>
      </c>
      <c r="W11" s="410">
        <f t="shared" si="0"/>
        <v>0</v>
      </c>
      <c r="X11" s="410">
        <f t="shared" si="0"/>
        <v>0</v>
      </c>
      <c r="Y11" s="410">
        <f t="shared" si="0"/>
        <v>15.84</v>
      </c>
      <c r="Z11" s="410">
        <f>(1+CAPEX_Factor)*((SUMIFS(Z$102:Z$266,$E$102:$E$266,$E11,$H$102:$H$266,$H11)*(1-$K11))+(SUMIFS(Z$271:Z$364,$E$271:$E$364,$E11,$H$271:$H$364,$H11)*(1-$L11)*TierA_TPI_BEefforts))</f>
        <v>3.3000000000000003</v>
      </c>
      <c r="AA11" s="410">
        <f>(1+CAPEX_Factor)*((SUMIFS(AA$102:AA$266,$E$102:$E$266,$E11,$H$102:$H$266,$H11)*(1-$K11))+(SUMIFS(AA$271:AA$364,$E$271:$E$364,$E11,$H$271:$H$364,$H11)*(1-$L11)*TierA_TPI_BEefforts))</f>
        <v>12.540000000000001</v>
      </c>
      <c r="AB11" s="93"/>
      <c r="AC11" s="736" t="s">
        <v>383</v>
      </c>
      <c r="AD11" s="411"/>
      <c r="AE11" s="93"/>
      <c r="AF11" s="158"/>
      <c r="AG11" s="410">
        <f t="shared" ref="AG11:AM11" si="1">(1+CAPEX_Factor)*((SUMIFS(AG$102:AG$266,$E$102:$E$266,$E11,$H$102:$H$266,$H11)*(1-$K11))+(SUMIFS(AG$271:AG$364,$E$271:$E$364,$E11,$H$271:$H$364,$H11)*(1-$L11)))</f>
        <v>50.160000000000004</v>
      </c>
      <c r="AH11" s="410">
        <f t="shared" si="1"/>
        <v>50.160000000000004</v>
      </c>
      <c r="AI11" s="410">
        <f t="shared" si="1"/>
        <v>50.160000000000004</v>
      </c>
      <c r="AJ11" s="410">
        <f t="shared" si="1"/>
        <v>50.160000000000004</v>
      </c>
      <c r="AK11" s="410">
        <f t="shared" si="1"/>
        <v>0</v>
      </c>
      <c r="AL11" s="410">
        <f t="shared" si="1"/>
        <v>0</v>
      </c>
      <c r="AM11" s="410">
        <f t="shared" si="1"/>
        <v>22.44</v>
      </c>
      <c r="AN11" s="410">
        <f>(1+CAPEX_Factor)*((SUMIFS(AN$102:AN$266,$E$102:$E$266,$E11,$H$102:$H$266,$H11)*(1-$K11))+(SUMIFS(AN$271:AN$364,$E$271:$E$364,$E11,$H$271:$H$364,$H11)*(1-$L11)*TierA_TPI_BEefforts))</f>
        <v>3.3000000000000003</v>
      </c>
      <c r="AO11" s="410">
        <f>(1+CAPEX_Factor)*((SUMIFS(AO$102:AO$266,$E$102:$E$266,$E11,$H$102:$H$266,$H11)*(1-$K11))+(SUMIFS(AO$271:AO$364,$E$271:$E$364,$E11,$H$271:$H$364,$H11)*(1-$L11)*TierA_TPI_BEefforts))</f>
        <v>19.14</v>
      </c>
      <c r="AP11" s="264"/>
      <c r="AQ11" s="264"/>
      <c r="AR11" s="736" t="s">
        <v>407</v>
      </c>
      <c r="AS11" s="411"/>
      <c r="AT11" s="93"/>
      <c r="AU11" s="158"/>
      <c r="AV11" s="410">
        <f t="shared" ref="AV11:BB11" si="2">(1+CAPEX_Factor)*((SUMIFS(AV$102:AV$266,$E$102:$E$266,$E11,$H$102:$H$266,$H11)*(1-$K11))+(SUMIFS(AV$271:AV$364,$E$271:$E$364,$E11,$H$271:$H$364,$H11)*(1-$L11)))</f>
        <v>55.440000000000012</v>
      </c>
      <c r="AW11" s="410">
        <f t="shared" si="2"/>
        <v>55.440000000000012</v>
      </c>
      <c r="AX11" s="410">
        <f t="shared" si="2"/>
        <v>55.440000000000012</v>
      </c>
      <c r="AY11" s="410">
        <f t="shared" si="2"/>
        <v>55.440000000000012</v>
      </c>
      <c r="AZ11" s="410">
        <f t="shared" si="2"/>
        <v>0</v>
      </c>
      <c r="BA11" s="410">
        <f t="shared" si="2"/>
        <v>0</v>
      </c>
      <c r="BB11" s="410">
        <f t="shared" si="2"/>
        <v>21.120000000000005</v>
      </c>
      <c r="BC11" s="410">
        <f>(1+CAPEX_Factor)*((SUMIFS(BC$102:BC$266,$E$102:$E$266,$E11,$H$102:$H$266,$H11)*(1-$K11))+(SUMIFS(BC$271:BC$364,$E$271:$E$364,$E11,$H$271:$H$364,$H11)*(1-$L11)*TierA_TPI_BEefforts))</f>
        <v>3.3000000000000003</v>
      </c>
      <c r="BD11" s="410">
        <f>(1+CAPEX_Factor)*((SUMIFS(BD$102:BD$266,$E$102:$E$266,$E11,$H$102:$H$266,$H11)*(1-$K11))+(SUMIFS(BD$271:BD$364,$E$271:$E$364,$E11,$H$271:$H$364,$H11)*(1-$L11)*TierA_TPI_BEefforts))</f>
        <v>17.82</v>
      </c>
      <c r="BE11" s="264"/>
      <c r="BF11" s="736" t="s">
        <v>407</v>
      </c>
      <c r="BG11" s="411"/>
      <c r="BH11" s="93"/>
      <c r="BI11" s="158"/>
      <c r="BJ11" s="410">
        <f>(1+CAPEX_Factor)*((SUMIFS(BJ$102:BJ$266,$E$102:$E$266,$E11,$H$102:$H$266,$H11)*(1-$K11))+(SUMIFS(BJ$271:BJ$364,$E$271:$E$364,$E11,$H$271:$H$364,$H11)*(1-$L11)))</f>
        <v>55.440000000000012</v>
      </c>
      <c r="BK11" s="410">
        <f t="shared" ref="BK11:BP11" si="3">(1+CAPEX_Factor)*((SUMIFS(BK$102:BK$266,$E$102:$E$266,$E11,$H$102:$H$266,$H11)*(1-$K11))+(SUMIFS(BK$271:BK$364,$E$271:$E$364,$E11,$H$271:$H$364,$H11)*(1-$L11)))</f>
        <v>55.440000000000012</v>
      </c>
      <c r="BL11" s="410">
        <f t="shared" si="3"/>
        <v>55.440000000000012</v>
      </c>
      <c r="BM11" s="410">
        <f t="shared" si="3"/>
        <v>55.440000000000012</v>
      </c>
      <c r="BN11" s="410">
        <f t="shared" si="3"/>
        <v>0</v>
      </c>
      <c r="BO11" s="410">
        <f t="shared" si="3"/>
        <v>0</v>
      </c>
      <c r="BP11" s="410">
        <f t="shared" si="3"/>
        <v>27.720000000000006</v>
      </c>
      <c r="BQ11" s="410">
        <f>(1+CAPEX_Factor)*((SUMIFS(BQ$102:BQ$266,$E$102:$E$266,$E11,$H$102:$H$266,$H11)*(1-$K11))+(SUMIFS(BQ$271:BQ$364,$E$271:$E$364,$E11,$H$271:$H$364,$H11)*(1-$L11)*TierA_TPI_BEefforts))</f>
        <v>3.3000000000000003</v>
      </c>
      <c r="BR11" s="410">
        <f>(1+CAPEX_Factor)*((SUMIFS(BR$102:BR$266,$E$102:$E$266,$E11,$H$102:$H$266,$H11)*(1-$K11))+(SUMIFS(BR$271:BR$364,$E$271:$E$364,$E11,$H$271:$H$364,$H11)*(1-$L11)*TierA_TPI_BEefforts))</f>
        <v>24.42</v>
      </c>
      <c r="BS11" s="263"/>
    </row>
    <row r="12" spans="1:71" ht="24" customHeight="1" x14ac:dyDescent="0.2">
      <c r="A12" s="400"/>
      <c r="B12" s="401"/>
      <c r="C12" s="157"/>
      <c r="D12" s="412" t="s">
        <v>109</v>
      </c>
      <c r="E12" s="413" t="s">
        <v>175</v>
      </c>
      <c r="F12" s="414" t="s">
        <v>49</v>
      </c>
      <c r="G12" s="415" t="s">
        <v>47</v>
      </c>
      <c r="H12" s="416" t="s">
        <v>118</v>
      </c>
      <c r="I12" s="736"/>
      <c r="J12" s="417"/>
      <c r="K12" s="408" t="s">
        <v>58</v>
      </c>
      <c r="L12" s="408" t="s">
        <v>58</v>
      </c>
      <c r="M12" s="409"/>
      <c r="N12" s="93"/>
      <c r="O12" s="736"/>
      <c r="P12" s="93"/>
      <c r="Q12" s="93"/>
      <c r="R12" s="93"/>
      <c r="S12" s="408">
        <f>Inputs_CPs!$F$13</f>
        <v>0.2</v>
      </c>
      <c r="T12" s="408">
        <f>Inputs_CPs!$G$13</f>
        <v>0.2</v>
      </c>
      <c r="U12" s="408">
        <f>Inputs_CPs!$H$13</f>
        <v>0.2</v>
      </c>
      <c r="V12" s="408">
        <f>Inputs_CPs!$I$13</f>
        <v>0.2</v>
      </c>
      <c r="W12" s="408">
        <f>Inputs_CPs!$N$13</f>
        <v>0.2</v>
      </c>
      <c r="X12" s="408">
        <f>Inputs_CPs!$O$13</f>
        <v>0.2</v>
      </c>
      <c r="Y12" s="408">
        <f>Inputs_CPs!$K$13</f>
        <v>0.2</v>
      </c>
      <c r="Z12" s="408">
        <f>Inputs_CPs!$L$13</f>
        <v>0.2</v>
      </c>
      <c r="AA12" s="408">
        <f>Inputs_CPs!$M$13</f>
        <v>0.2</v>
      </c>
      <c r="AB12" s="93"/>
      <c r="AC12" s="736"/>
      <c r="AD12" s="411"/>
      <c r="AE12" s="93"/>
      <c r="AF12" s="158"/>
      <c r="AG12" s="408">
        <f>Inputs_CPs!$F$13</f>
        <v>0.2</v>
      </c>
      <c r="AH12" s="408">
        <f>Inputs_CPs!$G$13</f>
        <v>0.2</v>
      </c>
      <c r="AI12" s="408">
        <f>Inputs_CPs!$H$13</f>
        <v>0.2</v>
      </c>
      <c r="AJ12" s="408">
        <f>Inputs_CPs!$I$13</f>
        <v>0.2</v>
      </c>
      <c r="AK12" s="408">
        <f>Inputs_CPs!$N$13</f>
        <v>0.2</v>
      </c>
      <c r="AL12" s="408">
        <f>Inputs_CPs!$O$13</f>
        <v>0.2</v>
      </c>
      <c r="AM12" s="408">
        <f>Inputs_CPs!$K$13</f>
        <v>0.2</v>
      </c>
      <c r="AN12" s="408">
        <f>Inputs_CPs!$L$13</f>
        <v>0.2</v>
      </c>
      <c r="AO12" s="408">
        <f>Inputs_CPs!$M$13</f>
        <v>0.2</v>
      </c>
      <c r="AP12" s="264"/>
      <c r="AQ12" s="264"/>
      <c r="AR12" s="736"/>
      <c r="AS12" s="411"/>
      <c r="AT12" s="93"/>
      <c r="AU12" s="158"/>
      <c r="AV12" s="408">
        <f>Inputs_CPs!$F$13</f>
        <v>0.2</v>
      </c>
      <c r="AW12" s="408">
        <f>Inputs_CPs!$G$13</f>
        <v>0.2</v>
      </c>
      <c r="AX12" s="408">
        <f>Inputs_CPs!$H$13</f>
        <v>0.2</v>
      </c>
      <c r="AY12" s="408">
        <f>Inputs_CPs!$I$13</f>
        <v>0.2</v>
      </c>
      <c r="AZ12" s="408">
        <f>Inputs_CPs!$N$13</f>
        <v>0.2</v>
      </c>
      <c r="BA12" s="408">
        <f>Inputs_CPs!$O$13</f>
        <v>0.2</v>
      </c>
      <c r="BB12" s="408">
        <f>Inputs_CPs!$K$13</f>
        <v>0.2</v>
      </c>
      <c r="BC12" s="408">
        <f>Inputs_CPs!$L$13</f>
        <v>0.2</v>
      </c>
      <c r="BD12" s="408">
        <f>Inputs_CPs!$M$13</f>
        <v>0.2</v>
      </c>
      <c r="BE12" s="264"/>
      <c r="BF12" s="736"/>
      <c r="BG12" s="411"/>
      <c r="BH12" s="93"/>
      <c r="BI12" s="158"/>
      <c r="BJ12" s="408">
        <f>Inputs_CPs!$F$13</f>
        <v>0.2</v>
      </c>
      <c r="BK12" s="408">
        <f>Inputs_CPs!$G$13</f>
        <v>0.2</v>
      </c>
      <c r="BL12" s="408">
        <f>Inputs_CPs!$H$13</f>
        <v>0.2</v>
      </c>
      <c r="BM12" s="408">
        <f>Inputs_CPs!$I$13</f>
        <v>0.2</v>
      </c>
      <c r="BN12" s="408">
        <f>Inputs_CPs!$N$13</f>
        <v>0.2</v>
      </c>
      <c r="BO12" s="408">
        <f>Inputs_CPs!$O$13</f>
        <v>0.2</v>
      </c>
      <c r="BP12" s="408">
        <f>Inputs_CPs!$K$13</f>
        <v>0.2</v>
      </c>
      <c r="BQ12" s="408">
        <f>Inputs_CPs!$L$13</f>
        <v>0.2</v>
      </c>
      <c r="BR12" s="408">
        <f>Inputs_CPs!$M$13</f>
        <v>0.2</v>
      </c>
      <c r="BS12" s="263"/>
    </row>
    <row r="13" spans="1:71" ht="24" customHeight="1" x14ac:dyDescent="0.2">
      <c r="A13" s="400"/>
      <c r="B13" s="401"/>
      <c r="C13" s="157"/>
      <c r="D13" s="412" t="s">
        <v>109</v>
      </c>
      <c r="E13" s="413" t="s">
        <v>175</v>
      </c>
      <c r="F13" s="414" t="s">
        <v>51</v>
      </c>
      <c r="G13" s="415" t="s">
        <v>50</v>
      </c>
      <c r="H13" s="416" t="s">
        <v>117</v>
      </c>
      <c r="I13" s="736"/>
      <c r="J13" s="417"/>
      <c r="K13" s="408">
        <f>Inputs_Estimates!$E$28</f>
        <v>0.2</v>
      </c>
      <c r="L13" s="408">
        <f>Inputs_Estimates!$F$28</f>
        <v>0.2</v>
      </c>
      <c r="M13" s="409"/>
      <c r="N13" s="93"/>
      <c r="O13" s="736"/>
      <c r="P13" s="93"/>
      <c r="Q13" s="93"/>
      <c r="R13" s="93"/>
      <c r="S13" s="410">
        <f t="shared" ref="S13:Y13" si="4">(1+CAPEX_Factor)*((SUMIFS(S$102:S$266,$E$102:$E$266,$E13,$H$102:$H$266,$H13)*(1-$K13))+(SUMIFS(S$271:S$364,$E$271:$E$364,$E13,$H$271:$H$364,$H13)*(1-$L13)))</f>
        <v>2.08</v>
      </c>
      <c r="T13" s="410">
        <f t="shared" si="4"/>
        <v>2.4800000000000004</v>
      </c>
      <c r="U13" s="410">
        <f t="shared" si="4"/>
        <v>2.08</v>
      </c>
      <c r="V13" s="410">
        <f t="shared" si="4"/>
        <v>2.08</v>
      </c>
      <c r="W13" s="410">
        <f t="shared" si="4"/>
        <v>0</v>
      </c>
      <c r="X13" s="410">
        <f t="shared" si="4"/>
        <v>0</v>
      </c>
      <c r="Y13" s="410">
        <f t="shared" si="4"/>
        <v>1.28</v>
      </c>
      <c r="Z13" s="410">
        <f>(1+CAPEX_Factor)*((SUMIFS(Z$102:Z$266,$E$102:$E$266,$E13,$H$102:$H$266,$H13)*(1-$K13))+(SUMIFS(Z$271:Z$364,$E$271:$E$364,$E13,$H$271:$H$364,$H13)*(1-$L13)*TierA_TPI_BEefforts))</f>
        <v>1.28</v>
      </c>
      <c r="AA13" s="410">
        <f>(1+CAPEX_Factor)*((SUMIFS(AA$102:AA$266,$E$102:$E$266,$E13,$H$102:$H$266,$H13)*(1-$K13))+(SUMIFS(AA$271:AA$364,$E$271:$E$364,$E13,$H$271:$H$364,$H13)*(1-$L13)*TierA_TPI_BEefforts))</f>
        <v>0</v>
      </c>
      <c r="AB13" s="93"/>
      <c r="AC13" s="736"/>
      <c r="AD13" s="411"/>
      <c r="AE13" s="93"/>
      <c r="AF13" s="158"/>
      <c r="AG13" s="410">
        <f t="shared" ref="AG13:AM13" si="5">(1+CAPEX_Factor)*((SUMIFS(AG$102:AG$266,$E$102:$E$266,$E13,$H$102:$H$266,$H13)*(1-$K13))+(SUMIFS(AG$271:AG$364,$E$271:$E$364,$E13,$H$271:$H$364,$H13)*(1-$L13)))</f>
        <v>2.08</v>
      </c>
      <c r="AH13" s="410">
        <f t="shared" si="5"/>
        <v>2.4800000000000004</v>
      </c>
      <c r="AI13" s="410">
        <f t="shared" si="5"/>
        <v>2.08</v>
      </c>
      <c r="AJ13" s="410">
        <f t="shared" si="5"/>
        <v>2.08</v>
      </c>
      <c r="AK13" s="410">
        <f t="shared" si="5"/>
        <v>0</v>
      </c>
      <c r="AL13" s="410">
        <f t="shared" si="5"/>
        <v>0</v>
      </c>
      <c r="AM13" s="410">
        <f t="shared" si="5"/>
        <v>2.08</v>
      </c>
      <c r="AN13" s="410">
        <f>(1+CAPEX_Factor)*((SUMIFS(AN$102:AN$266,$E$102:$E$266,$E13,$H$102:$H$266,$H13)*(1-$K13))+(SUMIFS(AN$271:AN$364,$E$271:$E$364,$E13,$H$271:$H$364,$H13)*(1-$L13)*TierA_TPI_BEefforts))</f>
        <v>2.08</v>
      </c>
      <c r="AO13" s="410">
        <f>(1+CAPEX_Factor)*((SUMIFS(AO$102:AO$266,$E$102:$E$266,$E13,$H$102:$H$266,$H13)*(1-$K13))+(SUMIFS(AO$271:AO$364,$E$271:$E$364,$E13,$H$271:$H$364,$H13)*(1-$L13)*TierA_TPI_BEefforts))</f>
        <v>0</v>
      </c>
      <c r="AP13" s="264"/>
      <c r="AQ13" s="264"/>
      <c r="AR13" s="736"/>
      <c r="AS13" s="411"/>
      <c r="AT13" s="93"/>
      <c r="AU13" s="158"/>
      <c r="AV13" s="410">
        <f t="shared" ref="AV13:BB13" si="6">(1+CAPEX_Factor)*((SUMIFS(AV$102:AV$266,$E$102:$E$266,$E13,$H$102:$H$266,$H13)*(1-$K13))+(SUMIFS(AV$271:AV$364,$E$271:$E$364,$E13,$H$271:$H$364,$H13)*(1-$L13)))</f>
        <v>2.08</v>
      </c>
      <c r="AW13" s="410">
        <f t="shared" si="6"/>
        <v>2.4800000000000004</v>
      </c>
      <c r="AX13" s="410">
        <f t="shared" si="6"/>
        <v>2.08</v>
      </c>
      <c r="AY13" s="410">
        <f t="shared" si="6"/>
        <v>2.08</v>
      </c>
      <c r="AZ13" s="410">
        <f t="shared" si="6"/>
        <v>0</v>
      </c>
      <c r="BA13" s="410">
        <f t="shared" si="6"/>
        <v>0</v>
      </c>
      <c r="BB13" s="410">
        <f t="shared" si="6"/>
        <v>1.28</v>
      </c>
      <c r="BC13" s="410">
        <f>(1+CAPEX_Factor)*((SUMIFS(BC$102:BC$266,$E$102:$E$266,$E13,$H$102:$H$266,$H13)*(1-$K13))+(SUMIFS(BC$271:BC$364,$E$271:$E$364,$E13,$H$271:$H$364,$H13)*(1-$L13)*TierA_TPI_BEefforts))</f>
        <v>1.28</v>
      </c>
      <c r="BD13" s="410">
        <f>(1+CAPEX_Factor)*((SUMIFS(BD$102:BD$266,$E$102:$E$266,$E13,$H$102:$H$266,$H13)*(1-$K13))+(SUMIFS(BD$271:BD$364,$E$271:$E$364,$E13,$H$271:$H$364,$H13)*(1-$L13)*TierA_TPI_BEefforts))</f>
        <v>0</v>
      </c>
      <c r="BE13" s="264"/>
      <c r="BF13" s="736"/>
      <c r="BG13" s="411"/>
      <c r="BH13" s="93"/>
      <c r="BI13" s="158"/>
      <c r="BJ13" s="410">
        <f t="shared" ref="BJ13:BP13" si="7">(1+CAPEX_Factor)*((SUMIFS(BJ$102:BJ$266,$E$102:$E$266,$E13,$H$102:$H$266,$H13)*(1-$K13))+(SUMIFS(BJ$271:BJ$364,$E$271:$E$364,$E13,$H$271:$H$364,$H13)*(1-$L13)))</f>
        <v>2.08</v>
      </c>
      <c r="BK13" s="410">
        <f t="shared" si="7"/>
        <v>2.4800000000000004</v>
      </c>
      <c r="BL13" s="410">
        <f t="shared" si="7"/>
        <v>2.08</v>
      </c>
      <c r="BM13" s="410">
        <f t="shared" si="7"/>
        <v>2.08</v>
      </c>
      <c r="BN13" s="410">
        <f t="shared" si="7"/>
        <v>0</v>
      </c>
      <c r="BO13" s="410">
        <f t="shared" si="7"/>
        <v>0</v>
      </c>
      <c r="BP13" s="410">
        <f t="shared" si="7"/>
        <v>2.08</v>
      </c>
      <c r="BQ13" s="410">
        <f>(1+CAPEX_Factor)*((SUMIFS(BQ$102:BQ$266,$E$102:$E$266,$E13,$H$102:$H$266,$H13)*(1-$K13))+(SUMIFS(BQ$271:BQ$364,$E$271:$E$364,$E13,$H$271:$H$364,$H13)*(1-$L13)*TierA_TPI_BEefforts))</f>
        <v>2.08</v>
      </c>
      <c r="BR13" s="410">
        <f>(1+CAPEX_Factor)*((SUMIFS(BR$102:BR$266,$E$102:$E$266,$E13,$H$102:$H$266,$H13)*(1-$K13))+(SUMIFS(BR$271:BR$364,$E$271:$E$364,$E13,$H$271:$H$364,$H13)*(1-$L13)*TierA_TPI_BEefforts))</f>
        <v>0</v>
      </c>
      <c r="BS13" s="263"/>
    </row>
    <row r="14" spans="1:71" ht="24" customHeight="1" x14ac:dyDescent="0.2">
      <c r="A14" s="400"/>
      <c r="B14" s="401"/>
      <c r="C14" s="157"/>
      <c r="D14" s="412" t="s">
        <v>109</v>
      </c>
      <c r="E14" s="413" t="s">
        <v>175</v>
      </c>
      <c r="F14" s="414" t="s">
        <v>48</v>
      </c>
      <c r="G14" s="415" t="s">
        <v>50</v>
      </c>
      <c r="H14" s="416" t="s">
        <v>116</v>
      </c>
      <c r="I14" s="736"/>
      <c r="J14" s="417"/>
      <c r="K14" s="408" t="s">
        <v>58</v>
      </c>
      <c r="L14" s="408" t="s">
        <v>58</v>
      </c>
      <c r="M14" s="409"/>
      <c r="N14" s="93"/>
      <c r="O14" s="736"/>
      <c r="P14" s="93"/>
      <c r="Q14" s="93"/>
      <c r="R14" s="93"/>
      <c r="S14" s="418">
        <f>Inputs_CPs!$F$9</f>
        <v>0</v>
      </c>
      <c r="T14" s="418">
        <f>Inputs_CPs!$G$9</f>
        <v>0</v>
      </c>
      <c r="U14" s="418">
        <f>Inputs_CPs!$H$9</f>
        <v>0</v>
      </c>
      <c r="V14" s="418">
        <f>Inputs_CPs!$I$9</f>
        <v>0</v>
      </c>
      <c r="W14" s="418">
        <f>Inputs_CPs!$N$9</f>
        <v>0</v>
      </c>
      <c r="X14" s="419">
        <f>Inputs_CPs!$O$9</f>
        <v>0</v>
      </c>
      <c r="Y14" s="419">
        <f>Inputs_CPs!$K$9</f>
        <v>100</v>
      </c>
      <c r="Z14" s="419">
        <f>Inputs_CPs!$L$9</f>
        <v>5</v>
      </c>
      <c r="AA14" s="419">
        <f>Inputs_CPs!$M$9</f>
        <v>0</v>
      </c>
      <c r="AB14" s="93"/>
      <c r="AC14" s="736"/>
      <c r="AD14" s="411"/>
      <c r="AE14" s="93"/>
      <c r="AF14" s="158"/>
      <c r="AG14" s="418">
        <f>Inputs_CPs!$F$9</f>
        <v>0</v>
      </c>
      <c r="AH14" s="418">
        <f>Inputs_CPs!$G$9</f>
        <v>0</v>
      </c>
      <c r="AI14" s="418">
        <f>Inputs_CPs!$H$9</f>
        <v>0</v>
      </c>
      <c r="AJ14" s="418">
        <f>Inputs_CPs!$I$9</f>
        <v>0</v>
      </c>
      <c r="AK14" s="418">
        <f>Inputs_CPs!$N$9</f>
        <v>0</v>
      </c>
      <c r="AL14" s="419">
        <f>Inputs_CPs!$O$9</f>
        <v>0</v>
      </c>
      <c r="AM14" s="419">
        <f>Inputs_CPs!$K$9</f>
        <v>100</v>
      </c>
      <c r="AN14" s="419">
        <f>Inputs_CPs!$L$9</f>
        <v>5</v>
      </c>
      <c r="AO14" s="419">
        <f>Inputs_CPs!$M$9</f>
        <v>0</v>
      </c>
      <c r="AP14" s="264"/>
      <c r="AQ14" s="264"/>
      <c r="AR14" s="736"/>
      <c r="AS14" s="411"/>
      <c r="AT14" s="93"/>
      <c r="AU14" s="158"/>
      <c r="AV14" s="418">
        <f>Inputs_CPs!$F$9</f>
        <v>0</v>
      </c>
      <c r="AW14" s="418">
        <f>Inputs_CPs!$G$9</f>
        <v>0</v>
      </c>
      <c r="AX14" s="418">
        <f>Inputs_CPs!$H$9</f>
        <v>0</v>
      </c>
      <c r="AY14" s="418">
        <f>Inputs_CPs!$I$9</f>
        <v>0</v>
      </c>
      <c r="AZ14" s="418">
        <f>Inputs_CPs!$N$9</f>
        <v>0</v>
      </c>
      <c r="BA14" s="419">
        <f>Inputs_CPs!$O$9</f>
        <v>0</v>
      </c>
      <c r="BB14" s="419">
        <f>Inputs_CPs!$K$9</f>
        <v>100</v>
      </c>
      <c r="BC14" s="419">
        <f>Inputs_CPs!$L$9</f>
        <v>5</v>
      </c>
      <c r="BD14" s="419">
        <f>Inputs_CPs!$M$9</f>
        <v>0</v>
      </c>
      <c r="BE14" s="264"/>
      <c r="BF14" s="736"/>
      <c r="BG14" s="411"/>
      <c r="BH14" s="93"/>
      <c r="BI14" s="158"/>
      <c r="BJ14" s="418">
        <f>Inputs_CPs!$F$9</f>
        <v>0</v>
      </c>
      <c r="BK14" s="418">
        <f>Inputs_CPs!$G$9</f>
        <v>0</v>
      </c>
      <c r="BL14" s="418">
        <f>Inputs_CPs!$H$9</f>
        <v>0</v>
      </c>
      <c r="BM14" s="418">
        <f>Inputs_CPs!$I$9</f>
        <v>0</v>
      </c>
      <c r="BN14" s="418">
        <f>Inputs_CPs!$N$9</f>
        <v>0</v>
      </c>
      <c r="BO14" s="419">
        <f>Inputs_CPs!$O$9</f>
        <v>0</v>
      </c>
      <c r="BP14" s="419">
        <f>Inputs_CPs!$K$9</f>
        <v>100</v>
      </c>
      <c r="BQ14" s="419">
        <f>Inputs_CPs!$L$9</f>
        <v>5</v>
      </c>
      <c r="BR14" s="419">
        <f>Inputs_CPs!$M$9</f>
        <v>0</v>
      </c>
      <c r="BS14" s="263"/>
    </row>
    <row r="15" spans="1:71" ht="24" customHeight="1" x14ac:dyDescent="0.2">
      <c r="A15" s="400"/>
      <c r="B15" s="401"/>
      <c r="C15" s="157"/>
      <c r="D15" s="420" t="s">
        <v>109</v>
      </c>
      <c r="E15" s="421" t="s">
        <v>149</v>
      </c>
      <c r="F15" s="422" t="s">
        <v>51</v>
      </c>
      <c r="G15" s="421" t="s">
        <v>50</v>
      </c>
      <c r="H15" s="423" t="s">
        <v>214</v>
      </c>
      <c r="I15" s="735" t="s">
        <v>255</v>
      </c>
      <c r="J15" s="424"/>
      <c r="K15" s="408">
        <f>Inputs_Estimates!$E$28</f>
        <v>0.2</v>
      </c>
      <c r="L15" s="408">
        <f>Inputs_Estimates!$F$28</f>
        <v>0.2</v>
      </c>
      <c r="M15" s="425"/>
      <c r="N15" s="93"/>
      <c r="O15" s="735" t="s">
        <v>400</v>
      </c>
      <c r="P15" s="93"/>
      <c r="Q15" s="93"/>
      <c r="R15" s="93"/>
      <c r="S15" s="410">
        <f t="shared" ref="S15:Y15" si="8">(1+CAPEX_Factor)*((SUMIFS(S$102:S$266,$E$102:$E$266,$E15,$H$102:$H$266,$H15)*(1-$K15))+(SUMIFS(S$271:S$364,$E$271:$E$364,$E15,$H$271:$H$364,$H15)*(1-$L15)))</f>
        <v>46.2</v>
      </c>
      <c r="T15" s="410">
        <f t="shared" si="8"/>
        <v>46.2</v>
      </c>
      <c r="U15" s="410">
        <f t="shared" si="8"/>
        <v>46.2</v>
      </c>
      <c r="V15" s="410">
        <f t="shared" si="8"/>
        <v>46.2</v>
      </c>
      <c r="W15" s="410">
        <f t="shared" si="8"/>
        <v>0</v>
      </c>
      <c r="X15" s="410">
        <f t="shared" si="8"/>
        <v>0</v>
      </c>
      <c r="Y15" s="410">
        <f t="shared" si="8"/>
        <v>13.860000000000003</v>
      </c>
      <c r="Z15" s="410">
        <f>(1+CAPEX_Factor)*((SUMIFS(Z$102:Z$266,$E$102:$E$266,$E15,$H$102:$H$266,$H15)*(1-$K15))+(SUMIFS(Z$271:Z$364,$E$271:$E$364,$E15,$H$271:$H$364,$H15)*(1-$L15)*TierA_TPI_BEefforts))</f>
        <v>3.3000000000000003</v>
      </c>
      <c r="AA15" s="410">
        <f>(1+CAPEX_Factor)*((SUMIFS(AA$102:AA$266,$E$102:$E$266,$E15,$H$102:$H$266,$H15)*(1-$K15))+(SUMIFS(AA$271:AA$364,$E$271:$E$364,$E15,$H$271:$H$364,$H15)*(1-$L15)*TierA_TPI_BEefforts))</f>
        <v>10.560000000000002</v>
      </c>
      <c r="AB15" s="93"/>
      <c r="AC15" s="735" t="s">
        <v>384</v>
      </c>
      <c r="AD15" s="424"/>
      <c r="AE15" s="93"/>
      <c r="AF15" s="158"/>
      <c r="AG15" s="410">
        <f t="shared" ref="AG15:AM15" si="9">(1+CAPEX_Factor)*((SUMIFS(AG$102:AG$266,$E$102:$E$266,$E15,$H$102:$H$266,$H15)*(1-$K15))+(SUMIFS(AG$271:AG$364,$E$271:$E$364,$E15,$H$271:$H$364,$H15)*(1-$L15)))</f>
        <v>46.2</v>
      </c>
      <c r="AH15" s="410">
        <f t="shared" si="9"/>
        <v>46.2</v>
      </c>
      <c r="AI15" s="410">
        <f t="shared" si="9"/>
        <v>46.2</v>
      </c>
      <c r="AJ15" s="410">
        <f t="shared" si="9"/>
        <v>46.2</v>
      </c>
      <c r="AK15" s="410">
        <f t="shared" si="9"/>
        <v>0</v>
      </c>
      <c r="AL15" s="410">
        <f t="shared" si="9"/>
        <v>0</v>
      </c>
      <c r="AM15" s="410">
        <f t="shared" si="9"/>
        <v>13.860000000000003</v>
      </c>
      <c r="AN15" s="410">
        <f>(1+CAPEX_Factor)*((SUMIFS(AN$102:AN$266,$E$102:$E$266,$E15,$H$102:$H$266,$H15)*(1-$K15))+(SUMIFS(AN$271:AN$364,$E$271:$E$364,$E15,$H$271:$H$364,$H15)*(1-$L15)*TierA_TPI_BEefforts))</f>
        <v>3.3000000000000003</v>
      </c>
      <c r="AO15" s="410">
        <f>(1+CAPEX_Factor)*((SUMIFS(AO$102:AO$266,$E$102:$E$266,$E15,$H$102:$H$266,$H15)*(1-$K15))+(SUMIFS(AO$271:AO$364,$E$271:$E$364,$E15,$H$271:$H$364,$H15)*(1-$L15)*TierA_TPI_BEefforts))</f>
        <v>10.560000000000002</v>
      </c>
      <c r="AP15" s="264"/>
      <c r="AQ15" s="264"/>
      <c r="AR15" s="735" t="s">
        <v>408</v>
      </c>
      <c r="AS15" s="424"/>
      <c r="AT15" s="93"/>
      <c r="AU15" s="158"/>
      <c r="AV15" s="410">
        <f t="shared" ref="AV15:BB15" si="10">(1+CAPEX_Factor)*((SUMIFS(AV$102:AV$266,$E$102:$E$266,$E15,$H$102:$H$266,$H15)*(1-$K15))+(SUMIFS(AV$271:AV$364,$E$271:$E$364,$E15,$H$271:$H$364,$H15)*(1-$L15)))</f>
        <v>62.040000000000006</v>
      </c>
      <c r="AW15" s="410">
        <f t="shared" si="10"/>
        <v>62.040000000000006</v>
      </c>
      <c r="AX15" s="410">
        <f t="shared" si="10"/>
        <v>62.040000000000006</v>
      </c>
      <c r="AY15" s="410">
        <f t="shared" si="10"/>
        <v>62.040000000000006</v>
      </c>
      <c r="AZ15" s="410">
        <f t="shared" si="10"/>
        <v>0</v>
      </c>
      <c r="BA15" s="410">
        <f t="shared" si="10"/>
        <v>0</v>
      </c>
      <c r="BB15" s="410">
        <f t="shared" si="10"/>
        <v>31.020000000000003</v>
      </c>
      <c r="BC15" s="410">
        <f>(1+CAPEX_Factor)*((SUMIFS(BC$102:BC$266,$E$102:$E$266,$E15,$H$102:$H$266,$H15)*(1-$K15))+(SUMIFS(BC$271:BC$364,$E$271:$E$364,$E15,$H$271:$H$364,$H15)*(1-$L15)*TierA_TPI_BEefforts))</f>
        <v>3.3000000000000003</v>
      </c>
      <c r="BD15" s="410">
        <f>(1+CAPEX_Factor)*((SUMIFS(BD$102:BD$266,$E$102:$E$266,$E15,$H$102:$H$266,$H15)*(1-$K15))+(SUMIFS(BD$271:BD$364,$E$271:$E$364,$E15,$H$271:$H$364,$H15)*(1-$L15)*TierA_TPI_BEefforts))</f>
        <v>27.720000000000002</v>
      </c>
      <c r="BE15" s="264"/>
      <c r="BF15" s="735" t="s">
        <v>408</v>
      </c>
      <c r="BG15" s="424"/>
      <c r="BH15" s="93"/>
      <c r="BI15" s="158"/>
      <c r="BJ15" s="410">
        <f t="shared" ref="BJ15:BP15" si="11">(1+CAPEX_Factor)*((SUMIFS(BJ$102:BJ$266,$E$102:$E$266,$E15,$H$102:$H$266,$H15)*(1-$K15))+(SUMIFS(BJ$271:BJ$364,$E$271:$E$364,$E15,$H$271:$H$364,$H15)*(1-$L15)))</f>
        <v>62.040000000000006</v>
      </c>
      <c r="BK15" s="410">
        <f t="shared" si="11"/>
        <v>62.040000000000006</v>
      </c>
      <c r="BL15" s="410">
        <f t="shared" si="11"/>
        <v>62.040000000000006</v>
      </c>
      <c r="BM15" s="410">
        <f t="shared" si="11"/>
        <v>62.040000000000006</v>
      </c>
      <c r="BN15" s="410">
        <f t="shared" si="11"/>
        <v>0</v>
      </c>
      <c r="BO15" s="410">
        <f t="shared" si="11"/>
        <v>0</v>
      </c>
      <c r="BP15" s="410">
        <f t="shared" si="11"/>
        <v>31.020000000000003</v>
      </c>
      <c r="BQ15" s="410">
        <f>(1+CAPEX_Factor)*((SUMIFS(BQ$102:BQ$266,$E$102:$E$266,$E15,$H$102:$H$266,$H15)*(1-$K15))+(SUMIFS(BQ$271:BQ$364,$E$271:$E$364,$E15,$H$271:$H$364,$H15)*(1-$L15)*TierA_TPI_BEefforts))</f>
        <v>3.3000000000000003</v>
      </c>
      <c r="BR15" s="410">
        <f>(1+CAPEX_Factor)*((SUMIFS(BR$102:BR$266,$E$102:$E$266,$E15,$H$102:$H$266,$H15)*(1-$K15))+(SUMIFS(BR$271:BR$364,$E$271:$E$364,$E15,$H$271:$H$364,$H15)*(1-$L15)*TierA_TPI_BEefforts))</f>
        <v>27.720000000000002</v>
      </c>
      <c r="BS15" s="263"/>
    </row>
    <row r="16" spans="1:71" ht="24" customHeight="1" x14ac:dyDescent="0.2">
      <c r="A16" s="400"/>
      <c r="B16" s="401"/>
      <c r="C16" s="157"/>
      <c r="D16" s="420" t="s">
        <v>109</v>
      </c>
      <c r="E16" s="421" t="s">
        <v>149</v>
      </c>
      <c r="F16" s="422" t="s">
        <v>49</v>
      </c>
      <c r="G16" s="421" t="s">
        <v>47</v>
      </c>
      <c r="H16" s="423" t="s">
        <v>118</v>
      </c>
      <c r="I16" s="735"/>
      <c r="J16" s="424"/>
      <c r="K16" s="408" t="s">
        <v>58</v>
      </c>
      <c r="L16" s="408" t="s">
        <v>58</v>
      </c>
      <c r="M16" s="425"/>
      <c r="N16" s="93"/>
      <c r="O16" s="735"/>
      <c r="P16" s="93"/>
      <c r="Q16" s="93"/>
      <c r="R16" s="93"/>
      <c r="S16" s="408">
        <f>Inputs_CPs!$F$13</f>
        <v>0.2</v>
      </c>
      <c r="T16" s="408">
        <f>Inputs_CPs!$G$13</f>
        <v>0.2</v>
      </c>
      <c r="U16" s="408">
        <f>Inputs_CPs!$H$13</f>
        <v>0.2</v>
      </c>
      <c r="V16" s="408">
        <f>Inputs_CPs!$I$13</f>
        <v>0.2</v>
      </c>
      <c r="W16" s="408">
        <f>Inputs_CPs!$N$13</f>
        <v>0.2</v>
      </c>
      <c r="X16" s="408">
        <f>Inputs_CPs!$O$13</f>
        <v>0.2</v>
      </c>
      <c r="Y16" s="408">
        <f>Inputs_CPs!$K$13</f>
        <v>0.2</v>
      </c>
      <c r="Z16" s="408">
        <f>Inputs_CPs!$L$13</f>
        <v>0.2</v>
      </c>
      <c r="AA16" s="408">
        <f>Inputs_CPs!$M$13</f>
        <v>0.2</v>
      </c>
      <c r="AB16" s="93"/>
      <c r="AC16" s="735"/>
      <c r="AD16" s="424"/>
      <c r="AE16" s="93"/>
      <c r="AF16" s="158"/>
      <c r="AG16" s="408">
        <f>Inputs_CPs!$F$13</f>
        <v>0.2</v>
      </c>
      <c r="AH16" s="408">
        <f>Inputs_CPs!$G$13</f>
        <v>0.2</v>
      </c>
      <c r="AI16" s="408">
        <f>Inputs_CPs!$H$13</f>
        <v>0.2</v>
      </c>
      <c r="AJ16" s="408">
        <f>Inputs_CPs!$I$13</f>
        <v>0.2</v>
      </c>
      <c r="AK16" s="408">
        <f>Inputs_CPs!$N$13</f>
        <v>0.2</v>
      </c>
      <c r="AL16" s="408">
        <f>Inputs_CPs!$O$13</f>
        <v>0.2</v>
      </c>
      <c r="AM16" s="408">
        <f>Inputs_CPs!$K$13</f>
        <v>0.2</v>
      </c>
      <c r="AN16" s="408">
        <f>Inputs_CPs!$L$13</f>
        <v>0.2</v>
      </c>
      <c r="AO16" s="408">
        <f>Inputs_CPs!$M$13</f>
        <v>0.2</v>
      </c>
      <c r="AP16" s="264"/>
      <c r="AQ16" s="264"/>
      <c r="AR16" s="735"/>
      <c r="AS16" s="424"/>
      <c r="AT16" s="93"/>
      <c r="AU16" s="158"/>
      <c r="AV16" s="408">
        <f>Inputs_CPs!$F$13</f>
        <v>0.2</v>
      </c>
      <c r="AW16" s="408">
        <f>Inputs_CPs!$G$13</f>
        <v>0.2</v>
      </c>
      <c r="AX16" s="408">
        <f>Inputs_CPs!$H$13</f>
        <v>0.2</v>
      </c>
      <c r="AY16" s="408">
        <f>Inputs_CPs!$I$13</f>
        <v>0.2</v>
      </c>
      <c r="AZ16" s="408">
        <f>Inputs_CPs!$N$13</f>
        <v>0.2</v>
      </c>
      <c r="BA16" s="408">
        <f>Inputs_CPs!$O$13</f>
        <v>0.2</v>
      </c>
      <c r="BB16" s="408">
        <f>Inputs_CPs!$K$13</f>
        <v>0.2</v>
      </c>
      <c r="BC16" s="408">
        <f>Inputs_CPs!$L$13</f>
        <v>0.2</v>
      </c>
      <c r="BD16" s="408">
        <f>Inputs_CPs!$M$13</f>
        <v>0.2</v>
      </c>
      <c r="BE16" s="264"/>
      <c r="BF16" s="735"/>
      <c r="BG16" s="424"/>
      <c r="BH16" s="93"/>
      <c r="BI16" s="158"/>
      <c r="BJ16" s="408">
        <f>Inputs_CPs!$F$13</f>
        <v>0.2</v>
      </c>
      <c r="BK16" s="408">
        <f>Inputs_CPs!$G$13</f>
        <v>0.2</v>
      </c>
      <c r="BL16" s="408">
        <f>Inputs_CPs!$H$13</f>
        <v>0.2</v>
      </c>
      <c r="BM16" s="408">
        <f>Inputs_CPs!$I$13</f>
        <v>0.2</v>
      </c>
      <c r="BN16" s="408">
        <f>Inputs_CPs!$N$13</f>
        <v>0.2</v>
      </c>
      <c r="BO16" s="408">
        <f>Inputs_CPs!$O$13</f>
        <v>0.2</v>
      </c>
      <c r="BP16" s="408">
        <f>Inputs_CPs!$K$13</f>
        <v>0.2</v>
      </c>
      <c r="BQ16" s="408">
        <f>Inputs_CPs!$L$13</f>
        <v>0.2</v>
      </c>
      <c r="BR16" s="408">
        <f>Inputs_CPs!$M$13</f>
        <v>0.2</v>
      </c>
      <c r="BS16" s="263"/>
    </row>
    <row r="17" spans="1:71" ht="24" customHeight="1" x14ac:dyDescent="0.2">
      <c r="A17" s="312"/>
      <c r="B17" s="401"/>
      <c r="C17" s="157"/>
      <c r="D17" s="420" t="s">
        <v>109</v>
      </c>
      <c r="E17" s="421" t="s">
        <v>149</v>
      </c>
      <c r="F17" s="422" t="s">
        <v>51</v>
      </c>
      <c r="G17" s="426" t="s">
        <v>50</v>
      </c>
      <c r="H17" s="427" t="s">
        <v>117</v>
      </c>
      <c r="I17" s="735"/>
      <c r="J17" s="424"/>
      <c r="K17" s="408">
        <f>Inputs_Estimates!$E$28</f>
        <v>0.2</v>
      </c>
      <c r="L17" s="408">
        <f>Inputs_Estimates!$F$28</f>
        <v>0.2</v>
      </c>
      <c r="M17" s="425"/>
      <c r="N17" s="264"/>
      <c r="O17" s="735"/>
      <c r="P17" s="264"/>
      <c r="Q17" s="264"/>
      <c r="R17" s="264"/>
      <c r="S17" s="410">
        <f t="shared" ref="S17:Y17" si="12">(1+CAPEX_Factor)*((SUMIFS(S$102:S$266,$E$102:$E$266,$E17,$H$102:$H$266,$H17)*(1-$K17))+(SUMIFS(S$271:S$364,$E$271:$E$364,$E17,$H$271:$H$364,$H17)*(1-$L17)))</f>
        <v>0.96000000000000019</v>
      </c>
      <c r="T17" s="410">
        <f t="shared" si="12"/>
        <v>1.3600000000000003</v>
      </c>
      <c r="U17" s="410">
        <f t="shared" si="12"/>
        <v>0.96000000000000019</v>
      </c>
      <c r="V17" s="410">
        <f t="shared" si="12"/>
        <v>0.96000000000000019</v>
      </c>
      <c r="W17" s="410">
        <f t="shared" si="12"/>
        <v>0</v>
      </c>
      <c r="X17" s="410">
        <f t="shared" si="12"/>
        <v>0</v>
      </c>
      <c r="Y17" s="410">
        <f t="shared" si="12"/>
        <v>0.96000000000000019</v>
      </c>
      <c r="Z17" s="410">
        <f>(1+CAPEX_Factor)*((SUMIFS(Z$102:Z$266,$E$102:$E$266,$E17,$H$102:$H$266,$H17)*(1-$K17))+(SUMIFS(Z$271:Z$364,$E$271:$E$364,$E17,$H$271:$H$364,$H17)*(1-$L17)*TierA_TPI_BEefforts))</f>
        <v>0.96000000000000019</v>
      </c>
      <c r="AA17" s="410">
        <f>(1+CAPEX_Factor)*((SUMIFS(AA$102:AA$266,$E$102:$E$266,$E17,$H$102:$H$266,$H17)*(1-$K17))+(SUMIFS(AA$271:AA$364,$E$271:$E$364,$E17,$H$271:$H$364,$H17)*(1-$L17)*TierA_TPI_BEefforts))</f>
        <v>0</v>
      </c>
      <c r="AB17" s="264"/>
      <c r="AC17" s="735"/>
      <c r="AD17" s="424"/>
      <c r="AE17" s="264"/>
      <c r="AF17" s="263"/>
      <c r="AG17" s="410">
        <f t="shared" ref="AG17:AM17" si="13">(1+CAPEX_Factor)*((SUMIFS(AG$102:AG$266,$E$102:$E$266,$E17,$H$102:$H$266,$H17)*(1-$K17))+(SUMIFS(AG$271:AG$364,$E$271:$E$364,$E17,$H$271:$H$364,$H17)*(1-$L17)))</f>
        <v>0.96000000000000019</v>
      </c>
      <c r="AH17" s="410">
        <f t="shared" si="13"/>
        <v>1.3600000000000003</v>
      </c>
      <c r="AI17" s="410">
        <f t="shared" si="13"/>
        <v>0.96000000000000019</v>
      </c>
      <c r="AJ17" s="410">
        <f t="shared" si="13"/>
        <v>0.96000000000000019</v>
      </c>
      <c r="AK17" s="410">
        <f t="shared" si="13"/>
        <v>0</v>
      </c>
      <c r="AL17" s="410">
        <f t="shared" si="13"/>
        <v>0</v>
      </c>
      <c r="AM17" s="410">
        <f t="shared" si="13"/>
        <v>0.96000000000000019</v>
      </c>
      <c r="AN17" s="410">
        <f>(1+CAPEX_Factor)*((SUMIFS(AN$102:AN$266,$E$102:$E$266,$E17,$H$102:$H$266,$H17)*(1-$K17))+(SUMIFS(AN$271:AN$364,$E$271:$E$364,$E17,$H$271:$H$364,$H17)*(1-$L17)*TierA_TPI_BEefforts))</f>
        <v>0.96000000000000019</v>
      </c>
      <c r="AO17" s="410">
        <f>(1+CAPEX_Factor)*((SUMIFS(AO$102:AO$266,$E$102:$E$266,$E17,$H$102:$H$266,$H17)*(1-$K17))+(SUMIFS(AO$271:AO$364,$E$271:$E$364,$E17,$H$271:$H$364,$H17)*(1-$L17)*TierA_TPI_BEefforts))</f>
        <v>0</v>
      </c>
      <c r="AP17" s="264"/>
      <c r="AQ17" s="264"/>
      <c r="AR17" s="735"/>
      <c r="AS17" s="424"/>
      <c r="AT17" s="264"/>
      <c r="AU17" s="263"/>
      <c r="AV17" s="410">
        <f t="shared" ref="AV17:BB17" si="14">(1+CAPEX_Factor)*((SUMIFS(AV$102:AV$266,$E$102:$E$266,$E17,$H$102:$H$266,$H17)*(1-$K17))+(SUMIFS(AV$271:AV$364,$E$271:$E$364,$E17,$H$271:$H$364,$H17)*(1-$L17)))</f>
        <v>0.96000000000000019</v>
      </c>
      <c r="AW17" s="410">
        <f t="shared" si="14"/>
        <v>1.3600000000000003</v>
      </c>
      <c r="AX17" s="410">
        <f t="shared" si="14"/>
        <v>0.96000000000000019</v>
      </c>
      <c r="AY17" s="410">
        <f t="shared" si="14"/>
        <v>0.96000000000000019</v>
      </c>
      <c r="AZ17" s="410">
        <f t="shared" si="14"/>
        <v>0</v>
      </c>
      <c r="BA17" s="410">
        <f t="shared" si="14"/>
        <v>0</v>
      </c>
      <c r="BB17" s="410">
        <f t="shared" si="14"/>
        <v>0.96000000000000019</v>
      </c>
      <c r="BC17" s="410">
        <f>(1+CAPEX_Factor)*((SUMIFS(BC$102:BC$266,$E$102:$E$266,$E17,$H$102:$H$266,$H17)*(1-$K17))+(SUMIFS(BC$271:BC$364,$E$271:$E$364,$E17,$H$271:$H$364,$H17)*(1-$L17)*TierA_TPI_BEefforts))</f>
        <v>0.96000000000000019</v>
      </c>
      <c r="BD17" s="410">
        <f>(1+CAPEX_Factor)*((SUMIFS(BD$102:BD$266,$E$102:$E$266,$E17,$H$102:$H$266,$H17)*(1-$K17))+(SUMIFS(BD$271:BD$364,$E$271:$E$364,$E17,$H$271:$H$364,$H17)*(1-$L17)*TierA_TPI_BEefforts))</f>
        <v>0</v>
      </c>
      <c r="BE17" s="264"/>
      <c r="BF17" s="735"/>
      <c r="BG17" s="424"/>
      <c r="BH17" s="264"/>
      <c r="BI17" s="263"/>
      <c r="BJ17" s="410">
        <f t="shared" ref="BJ17:BP17" si="15">(1+CAPEX_Factor)*((SUMIFS(BJ$102:BJ$266,$E$102:$E$266,$E17,$H$102:$H$266,$H17)*(1-$K17))+(SUMIFS(BJ$271:BJ$364,$E$271:$E$364,$E17,$H$271:$H$364,$H17)*(1-$L17)))</f>
        <v>0.96000000000000019</v>
      </c>
      <c r="BK17" s="410">
        <f t="shared" si="15"/>
        <v>1.3600000000000003</v>
      </c>
      <c r="BL17" s="410">
        <f t="shared" si="15"/>
        <v>0.96000000000000019</v>
      </c>
      <c r="BM17" s="410">
        <f t="shared" si="15"/>
        <v>0.96000000000000019</v>
      </c>
      <c r="BN17" s="410">
        <f t="shared" si="15"/>
        <v>0</v>
      </c>
      <c r="BO17" s="410">
        <f t="shared" si="15"/>
        <v>0</v>
      </c>
      <c r="BP17" s="410">
        <f t="shared" si="15"/>
        <v>0.96000000000000019</v>
      </c>
      <c r="BQ17" s="410">
        <f>(1+CAPEX_Factor)*((SUMIFS(BQ$102:BQ$266,$E$102:$E$266,$E17,$H$102:$H$266,$H17)*(1-$K17))+(SUMIFS(BQ$271:BQ$364,$E$271:$E$364,$E17,$H$271:$H$364,$H17)*(1-$L17)*TierA_TPI_BEefforts))</f>
        <v>0.96000000000000019</v>
      </c>
      <c r="BR17" s="410">
        <f>(1+CAPEX_Factor)*((SUMIFS(BR$102:BR$266,$E$102:$E$266,$E17,$H$102:$H$266,$H17)*(1-$K17))+(SUMIFS(BR$271:BR$364,$E$271:$E$364,$E17,$H$271:$H$364,$H17)*(1-$L17)*TierA_TPI_BEefforts))</f>
        <v>0</v>
      </c>
      <c r="BS17" s="263"/>
    </row>
    <row r="18" spans="1:71" ht="24" customHeight="1" x14ac:dyDescent="0.2">
      <c r="A18" s="312"/>
      <c r="B18" s="401"/>
      <c r="C18" s="157"/>
      <c r="D18" s="420" t="s">
        <v>109</v>
      </c>
      <c r="E18" s="421" t="s">
        <v>149</v>
      </c>
      <c r="F18" s="422" t="s">
        <v>48</v>
      </c>
      <c r="G18" s="426" t="s">
        <v>50</v>
      </c>
      <c r="H18" s="427" t="s">
        <v>181</v>
      </c>
      <c r="I18" s="735"/>
      <c r="J18" s="424"/>
      <c r="K18" s="408" t="s">
        <v>58</v>
      </c>
      <c r="L18" s="408" t="s">
        <v>58</v>
      </c>
      <c r="M18" s="425"/>
      <c r="N18" s="264"/>
      <c r="O18" s="735"/>
      <c r="P18" s="264"/>
      <c r="Q18" s="264"/>
      <c r="R18" s="264"/>
      <c r="S18" s="418">
        <f>Inputs_CPs!$F$9</f>
        <v>0</v>
      </c>
      <c r="T18" s="418">
        <f>Inputs_CPs!$G$9</f>
        <v>0</v>
      </c>
      <c r="U18" s="418">
        <f>Inputs_CPs!$H$9</f>
        <v>0</v>
      </c>
      <c r="V18" s="418">
        <f>Inputs_CPs!$I$9</f>
        <v>0</v>
      </c>
      <c r="W18" s="418">
        <f>Inputs_CPs!$N$9</f>
        <v>0</v>
      </c>
      <c r="X18" s="419">
        <f>Inputs_CPs!$O$9</f>
        <v>0</v>
      </c>
      <c r="Y18" s="419">
        <f>Inputs_CPs!$K$9</f>
        <v>100</v>
      </c>
      <c r="Z18" s="419">
        <f>Inputs_CPs!$L$9</f>
        <v>5</v>
      </c>
      <c r="AA18" s="419">
        <f>Inputs_CPs!$M$9</f>
        <v>0</v>
      </c>
      <c r="AB18" s="264"/>
      <c r="AC18" s="735"/>
      <c r="AD18" s="424"/>
      <c r="AE18" s="264"/>
      <c r="AF18" s="263"/>
      <c r="AG18" s="418">
        <f>Inputs_CPs!$F$9</f>
        <v>0</v>
      </c>
      <c r="AH18" s="418">
        <f>Inputs_CPs!$G$9</f>
        <v>0</v>
      </c>
      <c r="AI18" s="418">
        <f>Inputs_CPs!$H$9</f>
        <v>0</v>
      </c>
      <c r="AJ18" s="418">
        <f>Inputs_CPs!$I$9</f>
        <v>0</v>
      </c>
      <c r="AK18" s="418">
        <f>Inputs_CPs!$N$9</f>
        <v>0</v>
      </c>
      <c r="AL18" s="419">
        <f>Inputs_CPs!$O$9</f>
        <v>0</v>
      </c>
      <c r="AM18" s="419">
        <f>Inputs_CPs!$K$9</f>
        <v>100</v>
      </c>
      <c r="AN18" s="419">
        <f>Inputs_CPs!$L$9</f>
        <v>5</v>
      </c>
      <c r="AO18" s="419">
        <f>Inputs_CPs!$M$9</f>
        <v>0</v>
      </c>
      <c r="AP18" s="264"/>
      <c r="AQ18" s="264"/>
      <c r="AR18" s="735"/>
      <c r="AS18" s="424"/>
      <c r="AT18" s="264"/>
      <c r="AU18" s="263"/>
      <c r="AV18" s="418">
        <f>Inputs_CPs!$F$9</f>
        <v>0</v>
      </c>
      <c r="AW18" s="418">
        <f>Inputs_CPs!$G$9</f>
        <v>0</v>
      </c>
      <c r="AX18" s="418">
        <f>Inputs_CPs!$H$9</f>
        <v>0</v>
      </c>
      <c r="AY18" s="418">
        <f>Inputs_CPs!$I$9</f>
        <v>0</v>
      </c>
      <c r="AZ18" s="418">
        <f>Inputs_CPs!$N$9</f>
        <v>0</v>
      </c>
      <c r="BA18" s="419">
        <f>Inputs_CPs!$O$9</f>
        <v>0</v>
      </c>
      <c r="BB18" s="419">
        <f>Inputs_CPs!$K$9</f>
        <v>100</v>
      </c>
      <c r="BC18" s="419">
        <f>Inputs_CPs!$L$9</f>
        <v>5</v>
      </c>
      <c r="BD18" s="419">
        <f>Inputs_CPs!$M$9</f>
        <v>0</v>
      </c>
      <c r="BE18" s="264"/>
      <c r="BF18" s="735"/>
      <c r="BG18" s="424"/>
      <c r="BH18" s="264"/>
      <c r="BI18" s="263"/>
      <c r="BJ18" s="418">
        <f>Inputs_CPs!$F$9</f>
        <v>0</v>
      </c>
      <c r="BK18" s="418">
        <f>Inputs_CPs!$G$9</f>
        <v>0</v>
      </c>
      <c r="BL18" s="418">
        <f>Inputs_CPs!$H$9</f>
        <v>0</v>
      </c>
      <c r="BM18" s="418">
        <f>Inputs_CPs!$I$9</f>
        <v>0</v>
      </c>
      <c r="BN18" s="418">
        <f>Inputs_CPs!$N$9</f>
        <v>0</v>
      </c>
      <c r="BO18" s="419">
        <f>Inputs_CPs!$O$9</f>
        <v>0</v>
      </c>
      <c r="BP18" s="419">
        <f>Inputs_CPs!$K$9</f>
        <v>100</v>
      </c>
      <c r="BQ18" s="419">
        <f>Inputs_CPs!$L$9</f>
        <v>5</v>
      </c>
      <c r="BR18" s="419">
        <f>Inputs_CPs!$M$9</f>
        <v>0</v>
      </c>
      <c r="BS18" s="263"/>
    </row>
    <row r="19" spans="1:71" ht="24" customHeight="1" x14ac:dyDescent="0.2">
      <c r="A19" s="312"/>
      <c r="B19" s="401"/>
      <c r="C19" s="157"/>
      <c r="D19" s="428" t="s">
        <v>109</v>
      </c>
      <c r="E19" s="429" t="s">
        <v>150</v>
      </c>
      <c r="F19" s="414" t="s">
        <v>51</v>
      </c>
      <c r="G19" s="415" t="s">
        <v>50</v>
      </c>
      <c r="H19" s="430" t="s">
        <v>214</v>
      </c>
      <c r="I19" s="736" t="s">
        <v>238</v>
      </c>
      <c r="J19" s="407"/>
      <c r="K19" s="408">
        <f>Inputs_Estimates!$E$28</f>
        <v>0.2</v>
      </c>
      <c r="L19" s="408">
        <f>Inputs_Estimates!$F$28</f>
        <v>0.2</v>
      </c>
      <c r="M19" s="409"/>
      <c r="N19" s="264"/>
      <c r="O19" s="736" t="s">
        <v>401</v>
      </c>
      <c r="P19" s="264"/>
      <c r="Q19" s="264"/>
      <c r="R19" s="264"/>
      <c r="S19" s="410">
        <f t="shared" ref="S19:Y19" si="16">(1+CAPEX_Factor)*((SUMIFS(S$102:S$266,$E$102:$E$266,$E19,$H$102:$H$266,$H19)*(1-$K19))+(SUMIFS(S$271:S$364,$E$271:$E$364,$E19,$H$271:$H$364,$H19)*(1-$L19)))</f>
        <v>63.360000000000007</v>
      </c>
      <c r="T19" s="410">
        <f t="shared" si="16"/>
        <v>63.360000000000007</v>
      </c>
      <c r="U19" s="410">
        <f t="shared" si="16"/>
        <v>63.360000000000007</v>
      </c>
      <c r="V19" s="410">
        <f t="shared" si="16"/>
        <v>63.360000000000007</v>
      </c>
      <c r="W19" s="410">
        <f t="shared" si="16"/>
        <v>0</v>
      </c>
      <c r="X19" s="410">
        <f t="shared" si="16"/>
        <v>31.680000000000003</v>
      </c>
      <c r="Y19" s="410">
        <f t="shared" si="16"/>
        <v>25.080000000000002</v>
      </c>
      <c r="Z19" s="410">
        <f>(1+CAPEX_Factor)*((SUMIFS(Z$102:Z$266,$E$102:$E$266,$E19,$H$102:$H$266,$H19)*(1-$K19))+(SUMIFS(Z$271:Z$364,$E$271:$E$364,$E19,$H$271:$H$364,$H19)*(1-$L19)*TierA_TPI_BEefforts))</f>
        <v>3.3000000000000003</v>
      </c>
      <c r="AA19" s="410">
        <f>(1+CAPEX_Factor)*((SUMIFS(AA$102:AA$266,$E$102:$E$266,$E19,$H$102:$H$266,$H19)*(1-$K19))+(SUMIFS(AA$271:AA$364,$E$271:$E$364,$E19,$H$271:$H$364,$H19)*(1-$L19)*TierA_TPI_BEefforts))</f>
        <v>21.78</v>
      </c>
      <c r="AB19" s="694"/>
      <c r="AC19" s="736" t="s">
        <v>385</v>
      </c>
      <c r="AD19" s="411"/>
      <c r="AE19" s="264"/>
      <c r="AF19" s="263"/>
      <c r="AG19" s="410">
        <f t="shared" ref="AG19:AM19" si="17">(1+CAPEX_Factor)*((SUMIFS(AG$102:AG$266,$E$102:$E$266,$E19,$H$102:$H$266,$H19)*(1-$K19))+(SUMIFS(AG$271:AG$364,$E$271:$E$364,$E19,$H$271:$H$364,$H19)*(1-$L19)))</f>
        <v>63.360000000000007</v>
      </c>
      <c r="AH19" s="410">
        <f t="shared" si="17"/>
        <v>63.360000000000007</v>
      </c>
      <c r="AI19" s="410">
        <f t="shared" si="17"/>
        <v>63.360000000000007</v>
      </c>
      <c r="AJ19" s="410">
        <f t="shared" si="17"/>
        <v>63.360000000000007</v>
      </c>
      <c r="AK19" s="410">
        <f t="shared" si="17"/>
        <v>0</v>
      </c>
      <c r="AL19" s="410">
        <f t="shared" si="17"/>
        <v>0</v>
      </c>
      <c r="AM19" s="410">
        <f t="shared" si="17"/>
        <v>31.680000000000003</v>
      </c>
      <c r="AN19" s="410">
        <f>(1+CAPEX_Factor)*((SUMIFS(AN$102:AN$266,$E$102:$E$266,$E19,$H$102:$H$266,$H19)*(1-$K19))+(SUMIFS(AN$271:AN$364,$E$271:$E$364,$E19,$H$271:$H$364,$H19)*(1-$L19)*TierA_TPI_BEefforts))</f>
        <v>3.3000000000000003</v>
      </c>
      <c r="AO19" s="410">
        <f>(1+CAPEX_Factor)*((SUMIFS(AO$102:AO$266,$E$102:$E$266,$E19,$H$102:$H$266,$H19)*(1-$K19))+(SUMIFS(AO$271:AO$364,$E$271:$E$364,$E19,$H$271:$H$364,$H19)*(1-$L19)*TierA_TPI_BEefforts))</f>
        <v>28.380000000000003</v>
      </c>
      <c r="AP19" s="694"/>
      <c r="AQ19" s="694"/>
      <c r="AR19" s="736" t="s">
        <v>409</v>
      </c>
      <c r="AS19" s="411"/>
      <c r="AT19" s="264"/>
      <c r="AU19" s="263"/>
      <c r="AV19" s="410">
        <f t="shared" ref="AV19:BB19" si="18">(1+CAPEX_Factor)*((SUMIFS(AV$102:AV$266,$E$102:$E$266,$E19,$H$102:$H$266,$H19)*(1-$K19))+(SUMIFS(AV$271:AV$364,$E$271:$E$364,$E19,$H$271:$H$364,$H19)*(1-$L19)))</f>
        <v>71.28</v>
      </c>
      <c r="AW19" s="410">
        <f t="shared" si="18"/>
        <v>71.28</v>
      </c>
      <c r="AX19" s="410">
        <f t="shared" si="18"/>
        <v>71.28</v>
      </c>
      <c r="AY19" s="410">
        <f t="shared" si="18"/>
        <v>71.28</v>
      </c>
      <c r="AZ19" s="410">
        <f t="shared" si="18"/>
        <v>0</v>
      </c>
      <c r="BA19" s="410">
        <f t="shared" si="18"/>
        <v>36.960000000000008</v>
      </c>
      <c r="BB19" s="410">
        <f t="shared" si="18"/>
        <v>29.04</v>
      </c>
      <c r="BC19" s="410">
        <f>(1+CAPEX_Factor)*((SUMIFS(BC$102:BC$266,$E$102:$E$266,$E19,$H$102:$H$266,$H19)*(1-$K19))+(SUMIFS(BC$271:BC$364,$E$271:$E$364,$E19,$H$271:$H$364,$H19)*(1-$L19)*TierA_TPI_BEefforts))</f>
        <v>3.3000000000000003</v>
      </c>
      <c r="BD19" s="410">
        <f>(1+CAPEX_Factor)*((SUMIFS(BD$102:BD$266,$E$102:$E$266,$E19,$H$102:$H$266,$H19)*(1-$K19))+(SUMIFS(BD$271:BD$364,$E$271:$E$364,$E19,$H$271:$H$364,$H19)*(1-$L19)*TierA_TPI_BEefforts))</f>
        <v>25.740000000000002</v>
      </c>
      <c r="BE19" s="264"/>
      <c r="BF19" s="736" t="s">
        <v>417</v>
      </c>
      <c r="BG19" s="411"/>
      <c r="BH19" s="264"/>
      <c r="BI19" s="263"/>
      <c r="BJ19" s="410">
        <f t="shared" ref="BJ19:BP19" si="19">(1+CAPEX_Factor)*((SUMIFS(BJ$102:BJ$266,$E$102:$E$266,$E19,$H$102:$H$266,$H19)*(1-$K19))+(SUMIFS(BJ$271:BJ$364,$E$271:$E$364,$E19,$H$271:$H$364,$H19)*(1-$L19)))</f>
        <v>71.28</v>
      </c>
      <c r="BK19" s="410">
        <f t="shared" si="19"/>
        <v>71.28</v>
      </c>
      <c r="BL19" s="410">
        <f t="shared" si="19"/>
        <v>71.28</v>
      </c>
      <c r="BM19" s="410">
        <f t="shared" si="19"/>
        <v>71.28</v>
      </c>
      <c r="BN19" s="410">
        <f t="shared" si="19"/>
        <v>0</v>
      </c>
      <c r="BO19" s="410">
        <f t="shared" si="19"/>
        <v>0</v>
      </c>
      <c r="BP19" s="410">
        <f t="shared" si="19"/>
        <v>35.64</v>
      </c>
      <c r="BQ19" s="410">
        <f>(1+CAPEX_Factor)*((SUMIFS(BQ$102:BQ$266,$E$102:$E$266,$E19,$H$102:$H$266,$H19)*(1-$K19))+(SUMIFS(BQ$271:BQ$364,$E$271:$E$364,$E19,$H$271:$H$364,$H19)*(1-$L19)*TierA_TPI_BEefforts))</f>
        <v>3.3000000000000003</v>
      </c>
      <c r="BR19" s="410">
        <f>(1+CAPEX_Factor)*((SUMIFS(BR$102:BR$266,$E$102:$E$266,$E19,$H$102:$H$266,$H19)*(1-$K19))+(SUMIFS(BR$271:BR$364,$E$271:$E$364,$E19,$H$271:$H$364,$H19)*(1-$L19)*TierA_TPI_BEefforts))</f>
        <v>32.340000000000003</v>
      </c>
      <c r="BS19" s="263"/>
    </row>
    <row r="20" spans="1:71" ht="24" customHeight="1" x14ac:dyDescent="0.2">
      <c r="A20" s="312"/>
      <c r="B20" s="401"/>
      <c r="C20" s="157"/>
      <c r="D20" s="428" t="s">
        <v>109</v>
      </c>
      <c r="E20" s="429" t="s">
        <v>150</v>
      </c>
      <c r="F20" s="414" t="s">
        <v>49</v>
      </c>
      <c r="G20" s="415" t="s">
        <v>47</v>
      </c>
      <c r="H20" s="416" t="s">
        <v>118</v>
      </c>
      <c r="I20" s="736"/>
      <c r="J20" s="407"/>
      <c r="K20" s="408" t="s">
        <v>58</v>
      </c>
      <c r="L20" s="408" t="s">
        <v>58</v>
      </c>
      <c r="M20" s="409"/>
      <c r="N20" s="264"/>
      <c r="O20" s="736"/>
      <c r="P20" s="264"/>
      <c r="Q20" s="264"/>
      <c r="R20" s="264"/>
      <c r="S20" s="408">
        <f>Inputs_CPs!$F$13</f>
        <v>0.2</v>
      </c>
      <c r="T20" s="408">
        <f>Inputs_CPs!$G$13</f>
        <v>0.2</v>
      </c>
      <c r="U20" s="408">
        <f>Inputs_CPs!$H$13</f>
        <v>0.2</v>
      </c>
      <c r="V20" s="408">
        <f>Inputs_CPs!$I$13</f>
        <v>0.2</v>
      </c>
      <c r="W20" s="408">
        <f>Inputs_CPs!$N$13</f>
        <v>0.2</v>
      </c>
      <c r="X20" s="408">
        <f>Inputs_CPs!$O$13</f>
        <v>0.2</v>
      </c>
      <c r="Y20" s="408">
        <f>Inputs_CPs!$K$13</f>
        <v>0.2</v>
      </c>
      <c r="Z20" s="408">
        <f>Inputs_CPs!$L$13</f>
        <v>0.2</v>
      </c>
      <c r="AA20" s="408">
        <f>Inputs_CPs!$M$13</f>
        <v>0.2</v>
      </c>
      <c r="AB20" s="693"/>
      <c r="AC20" s="736"/>
      <c r="AD20" s="411"/>
      <c r="AE20" s="264"/>
      <c r="AF20" s="263"/>
      <c r="AG20" s="408">
        <f>Inputs_CPs!$F$13</f>
        <v>0.2</v>
      </c>
      <c r="AH20" s="408">
        <f>Inputs_CPs!$G$13</f>
        <v>0.2</v>
      </c>
      <c r="AI20" s="408">
        <f>Inputs_CPs!$H$13</f>
        <v>0.2</v>
      </c>
      <c r="AJ20" s="408">
        <f>Inputs_CPs!$I$13</f>
        <v>0.2</v>
      </c>
      <c r="AK20" s="408">
        <f>Inputs_CPs!$N$13</f>
        <v>0.2</v>
      </c>
      <c r="AL20" s="408">
        <f>Inputs_CPs!$O$13</f>
        <v>0.2</v>
      </c>
      <c r="AM20" s="408">
        <f>Inputs_CPs!$K$13</f>
        <v>0.2</v>
      </c>
      <c r="AN20" s="408">
        <f>Inputs_CPs!$L$13</f>
        <v>0.2</v>
      </c>
      <c r="AO20" s="408">
        <f>Inputs_CPs!$M$13</f>
        <v>0.2</v>
      </c>
      <c r="AP20" s="264"/>
      <c r="AQ20" s="264"/>
      <c r="AR20" s="736"/>
      <c r="AS20" s="411"/>
      <c r="AT20" s="264"/>
      <c r="AU20" s="263"/>
      <c r="AV20" s="408">
        <f>Inputs_CPs!$F$13</f>
        <v>0.2</v>
      </c>
      <c r="AW20" s="408">
        <f>Inputs_CPs!$G$13</f>
        <v>0.2</v>
      </c>
      <c r="AX20" s="408">
        <f>Inputs_CPs!$H$13</f>
        <v>0.2</v>
      </c>
      <c r="AY20" s="408">
        <f>Inputs_CPs!$I$13</f>
        <v>0.2</v>
      </c>
      <c r="AZ20" s="408">
        <f>Inputs_CPs!$N$13</f>
        <v>0.2</v>
      </c>
      <c r="BA20" s="408">
        <f>Inputs_CPs!$O$13</f>
        <v>0.2</v>
      </c>
      <c r="BB20" s="408">
        <f>Inputs_CPs!$K$13</f>
        <v>0.2</v>
      </c>
      <c r="BC20" s="408">
        <f>Inputs_CPs!$L$13</f>
        <v>0.2</v>
      </c>
      <c r="BD20" s="408">
        <f>Inputs_CPs!$M$13</f>
        <v>0.2</v>
      </c>
      <c r="BE20" s="264"/>
      <c r="BF20" s="736"/>
      <c r="BG20" s="411"/>
      <c r="BH20" s="264"/>
      <c r="BI20" s="263"/>
      <c r="BJ20" s="408">
        <f>Inputs_CPs!$F$13</f>
        <v>0.2</v>
      </c>
      <c r="BK20" s="408">
        <f>Inputs_CPs!$G$13</f>
        <v>0.2</v>
      </c>
      <c r="BL20" s="408">
        <f>Inputs_CPs!$H$13</f>
        <v>0.2</v>
      </c>
      <c r="BM20" s="408">
        <f>Inputs_CPs!$I$13</f>
        <v>0.2</v>
      </c>
      <c r="BN20" s="408">
        <f>Inputs_CPs!$N$13</f>
        <v>0.2</v>
      </c>
      <c r="BO20" s="408">
        <f>Inputs_CPs!$O$13</f>
        <v>0.2</v>
      </c>
      <c r="BP20" s="408">
        <f>Inputs_CPs!$K$13</f>
        <v>0.2</v>
      </c>
      <c r="BQ20" s="408">
        <f>Inputs_CPs!$L$13</f>
        <v>0.2</v>
      </c>
      <c r="BR20" s="408">
        <f>Inputs_CPs!$M$13</f>
        <v>0.2</v>
      </c>
      <c r="BS20" s="263"/>
    </row>
    <row r="21" spans="1:71" ht="24" customHeight="1" x14ac:dyDescent="0.2">
      <c r="A21" s="312"/>
      <c r="B21" s="401"/>
      <c r="C21" s="157"/>
      <c r="D21" s="428" t="s">
        <v>109</v>
      </c>
      <c r="E21" s="429" t="s">
        <v>150</v>
      </c>
      <c r="F21" s="414" t="s">
        <v>51</v>
      </c>
      <c r="G21" s="415" t="s">
        <v>50</v>
      </c>
      <c r="H21" s="416" t="s">
        <v>117</v>
      </c>
      <c r="I21" s="736"/>
      <c r="J21" s="407"/>
      <c r="K21" s="408">
        <f>Inputs_Estimates!$E$28</f>
        <v>0.2</v>
      </c>
      <c r="L21" s="408">
        <f>Inputs_Estimates!$F$28</f>
        <v>0.2</v>
      </c>
      <c r="M21" s="409"/>
      <c r="N21" s="264"/>
      <c r="O21" s="736"/>
      <c r="P21" s="264"/>
      <c r="Q21" s="264"/>
      <c r="R21" s="264"/>
      <c r="S21" s="410">
        <f t="shared" ref="S21:Y21" si="20">(1+CAPEX_Factor)*((SUMIFS(S$102:S$266,$E$102:$E$266,$E21,$H$102:$H$266,$H21)*(1-$K21))+(SUMIFS(S$271:S$364,$E$271:$E$364,$E21,$H$271:$H$364,$H21)*(1-$L21)))</f>
        <v>2.08</v>
      </c>
      <c r="T21" s="410">
        <f t="shared" si="20"/>
        <v>2.4800000000000004</v>
      </c>
      <c r="U21" s="410">
        <f t="shared" si="20"/>
        <v>2.08</v>
      </c>
      <c r="V21" s="410">
        <f t="shared" si="20"/>
        <v>2.08</v>
      </c>
      <c r="W21" s="410">
        <f t="shared" si="20"/>
        <v>0</v>
      </c>
      <c r="X21" s="410">
        <f t="shared" si="20"/>
        <v>1.7600000000000002</v>
      </c>
      <c r="Y21" s="410">
        <f t="shared" si="20"/>
        <v>1.28</v>
      </c>
      <c r="Z21" s="410">
        <f>(1+CAPEX_Factor)*((SUMIFS(Z$102:Z$266,$E$102:$E$266,$E21,$H$102:$H$266,$H21)*(1-$K21))+(SUMIFS(Z$271:Z$364,$E$271:$E$364,$E21,$H$271:$H$364,$H21)*(1-$L21)*TierA_TPI_BEefforts))</f>
        <v>1.28</v>
      </c>
      <c r="AA21" s="410">
        <f>(1+CAPEX_Factor)*((SUMIFS(AA$102:AA$266,$E$102:$E$266,$E21,$H$102:$H$266,$H21)*(1-$K21))+(SUMIFS(AA$271:AA$364,$E$271:$E$364,$E21,$H$271:$H$364,$H21)*(1-$L21)*TierA_TPI_BEefforts))</f>
        <v>0</v>
      </c>
      <c r="AB21" s="264"/>
      <c r="AC21" s="736"/>
      <c r="AD21" s="411"/>
      <c r="AE21" s="264"/>
      <c r="AF21" s="263"/>
      <c r="AG21" s="410">
        <f t="shared" ref="AG21:AM21" si="21">(1+CAPEX_Factor)*((SUMIFS(AG$102:AG$266,$E$102:$E$266,$E21,$H$102:$H$266,$H21)*(1-$K21))+(SUMIFS(AG$271:AG$364,$E$271:$E$364,$E21,$H$271:$H$364,$H21)*(1-$L21)))</f>
        <v>2.08</v>
      </c>
      <c r="AH21" s="410">
        <f t="shared" si="21"/>
        <v>2.4800000000000004</v>
      </c>
      <c r="AI21" s="410">
        <f t="shared" si="21"/>
        <v>2.08</v>
      </c>
      <c r="AJ21" s="410">
        <f t="shared" si="21"/>
        <v>2.08</v>
      </c>
      <c r="AK21" s="410">
        <f t="shared" si="21"/>
        <v>0</v>
      </c>
      <c r="AL21" s="410">
        <f t="shared" si="21"/>
        <v>0</v>
      </c>
      <c r="AM21" s="410">
        <f t="shared" si="21"/>
        <v>2.08</v>
      </c>
      <c r="AN21" s="410">
        <f>(1+CAPEX_Factor)*((SUMIFS(AN$102:AN$266,$E$102:$E$266,$E21,$H$102:$H$266,$H21)*(1-$K21))+(SUMIFS(AN$271:AN$364,$E$271:$E$364,$E21,$H$271:$H$364,$H21)*(1-$L21)*TierA_TPI_BEefforts))</f>
        <v>2.08</v>
      </c>
      <c r="AO21" s="410">
        <f>(1+CAPEX_Factor)*((SUMIFS(AO$102:AO$266,$E$102:$E$266,$E21,$H$102:$H$266,$H21)*(1-$K21))+(SUMIFS(AO$271:AO$364,$E$271:$E$364,$E21,$H$271:$H$364,$H21)*(1-$L21)*TierA_TPI_BEefforts))</f>
        <v>0</v>
      </c>
      <c r="AP21" s="264"/>
      <c r="AQ21" s="264"/>
      <c r="AR21" s="736"/>
      <c r="AS21" s="411"/>
      <c r="AT21" s="264"/>
      <c r="AU21" s="263"/>
      <c r="AV21" s="410">
        <f t="shared" ref="AV21:BB21" si="22">(1+CAPEX_Factor)*((SUMIFS(AV$102:AV$266,$E$102:$E$266,$E21,$H$102:$H$266,$H21)*(1-$K21))+(SUMIFS(AV$271:AV$364,$E$271:$E$364,$E21,$H$271:$H$364,$H21)*(1-$L21)))</f>
        <v>2.4800000000000004</v>
      </c>
      <c r="AW21" s="410">
        <f t="shared" si="22"/>
        <v>2.88</v>
      </c>
      <c r="AX21" s="410">
        <f t="shared" si="22"/>
        <v>2.4800000000000004</v>
      </c>
      <c r="AY21" s="410">
        <f t="shared" si="22"/>
        <v>2.4800000000000004</v>
      </c>
      <c r="AZ21" s="410">
        <f t="shared" si="22"/>
        <v>0</v>
      </c>
      <c r="BA21" s="410">
        <f t="shared" si="22"/>
        <v>1.7600000000000002</v>
      </c>
      <c r="BB21" s="410">
        <f t="shared" si="22"/>
        <v>1.6800000000000002</v>
      </c>
      <c r="BC21" s="410">
        <f>(1+CAPEX_Factor)*((SUMIFS(BC$102:BC$266,$E$102:$E$266,$E21,$H$102:$H$266,$H21)*(1-$K21))+(SUMIFS(BC$271:BC$364,$E$271:$E$364,$E21,$H$271:$H$364,$H21)*(1-$L21)*TierA_TPI_BEefforts))</f>
        <v>1.6800000000000002</v>
      </c>
      <c r="BD21" s="410">
        <f>(1+CAPEX_Factor)*((SUMIFS(BD$102:BD$266,$E$102:$E$266,$E21,$H$102:$H$266,$H21)*(1-$K21))+(SUMIFS(BD$271:BD$364,$E$271:$E$364,$E21,$H$271:$H$364,$H21)*(1-$L21)*TierA_TPI_BEefforts))</f>
        <v>0</v>
      </c>
      <c r="BE21" s="264"/>
      <c r="BF21" s="736"/>
      <c r="BG21" s="411"/>
      <c r="BH21" s="264"/>
      <c r="BI21" s="263"/>
      <c r="BJ21" s="410">
        <f t="shared" ref="BJ21:BP21" si="23">(1+CAPEX_Factor)*((SUMIFS(BJ$102:BJ$266,$E$102:$E$266,$E21,$H$102:$H$266,$H21)*(1-$K21))+(SUMIFS(BJ$271:BJ$364,$E$271:$E$364,$E21,$H$271:$H$364,$H21)*(1-$L21)))</f>
        <v>2.4800000000000004</v>
      </c>
      <c r="BK21" s="410">
        <f t="shared" si="23"/>
        <v>2.88</v>
      </c>
      <c r="BL21" s="410">
        <f t="shared" si="23"/>
        <v>2.4800000000000004</v>
      </c>
      <c r="BM21" s="410">
        <f t="shared" si="23"/>
        <v>2.4800000000000004</v>
      </c>
      <c r="BN21" s="410">
        <f t="shared" si="23"/>
        <v>0</v>
      </c>
      <c r="BO21" s="410">
        <f t="shared" si="23"/>
        <v>0</v>
      </c>
      <c r="BP21" s="410">
        <f t="shared" si="23"/>
        <v>2.4800000000000004</v>
      </c>
      <c r="BQ21" s="410">
        <f>(1+CAPEX_Factor)*((SUMIFS(BQ$102:BQ$266,$E$102:$E$266,$E21,$H$102:$H$266,$H21)*(1-$K21))+(SUMIFS(BQ$271:BQ$364,$E$271:$E$364,$E21,$H$271:$H$364,$H21)*(1-$L21)*TierA_TPI_BEefforts))</f>
        <v>2.4800000000000004</v>
      </c>
      <c r="BR21" s="410">
        <f>(1+CAPEX_Factor)*((SUMIFS(BR$102:BR$266,$E$102:$E$266,$E21,$H$102:$H$266,$H21)*(1-$K21))+(SUMIFS(BR$271:BR$364,$E$271:$E$364,$E21,$H$271:$H$364,$H21)*(1-$L21)*TierA_TPI_BEefforts))</f>
        <v>0</v>
      </c>
      <c r="BS21" s="263"/>
    </row>
    <row r="22" spans="1:71" ht="24" customHeight="1" x14ac:dyDescent="0.2">
      <c r="A22" s="312"/>
      <c r="B22" s="401"/>
      <c r="C22" s="157"/>
      <c r="D22" s="428" t="s">
        <v>109</v>
      </c>
      <c r="E22" s="429" t="s">
        <v>150</v>
      </c>
      <c r="F22" s="414" t="s">
        <v>48</v>
      </c>
      <c r="G22" s="415" t="s">
        <v>50</v>
      </c>
      <c r="H22" s="416" t="s">
        <v>217</v>
      </c>
      <c r="I22" s="736"/>
      <c r="J22" s="407"/>
      <c r="K22" s="408" t="s">
        <v>58</v>
      </c>
      <c r="L22" s="408" t="s">
        <v>58</v>
      </c>
      <c r="M22" s="409"/>
      <c r="N22" s="264"/>
      <c r="O22" s="736"/>
      <c r="P22" s="264"/>
      <c r="Q22" s="264"/>
      <c r="R22" s="264"/>
      <c r="S22" s="410">
        <f>Inputs_CPs!$F$10</f>
        <v>15</v>
      </c>
      <c r="T22" s="410">
        <f>Inputs_CPs!$G$10</f>
        <v>15</v>
      </c>
      <c r="U22" s="410">
        <f>Inputs_CPs!$H$10</f>
        <v>15</v>
      </c>
      <c r="V22" s="410">
        <f>Inputs_CPs!$I$10</f>
        <v>15</v>
      </c>
      <c r="W22" s="410">
        <f>Inputs_CPs!$N$10</f>
        <v>15</v>
      </c>
      <c r="X22" s="410">
        <f>Inputs_CPs!$O$10</f>
        <v>15</v>
      </c>
      <c r="Y22" s="410">
        <f>Inputs_CPs!$K$10</f>
        <v>3</v>
      </c>
      <c r="Z22" s="410">
        <f>Inputs_CPs!$L$10</f>
        <v>3</v>
      </c>
      <c r="AA22" s="410">
        <f>Inputs_CPs!$M$10</f>
        <v>3</v>
      </c>
      <c r="AB22" s="264"/>
      <c r="AC22" s="736"/>
      <c r="AD22" s="411"/>
      <c r="AE22" s="264"/>
      <c r="AF22" s="263"/>
      <c r="AG22" s="410">
        <f>Inputs_CPs!$F$10</f>
        <v>15</v>
      </c>
      <c r="AH22" s="410">
        <f>Inputs_CPs!$G$10</f>
        <v>15</v>
      </c>
      <c r="AI22" s="410">
        <f>Inputs_CPs!$H$10</f>
        <v>15</v>
      </c>
      <c r="AJ22" s="410">
        <f>Inputs_CPs!$I$10</f>
        <v>15</v>
      </c>
      <c r="AK22" s="410">
        <f>Inputs_CPs!$N$10</f>
        <v>15</v>
      </c>
      <c r="AL22" s="410">
        <f>Inputs_CPs!$O$10</f>
        <v>15</v>
      </c>
      <c r="AM22" s="410">
        <f>Inputs_CPs!$K$10</f>
        <v>3</v>
      </c>
      <c r="AN22" s="410">
        <f>Inputs_CPs!$L$10</f>
        <v>3</v>
      </c>
      <c r="AO22" s="410">
        <f>Inputs_CPs!$M$10</f>
        <v>3</v>
      </c>
      <c r="AP22" s="264"/>
      <c r="AQ22" s="264"/>
      <c r="AR22" s="736"/>
      <c r="AS22" s="411"/>
      <c r="AT22" s="264"/>
      <c r="AU22" s="263"/>
      <c r="AV22" s="410">
        <f>Inputs_CPs!$F$10</f>
        <v>15</v>
      </c>
      <c r="AW22" s="410">
        <f>Inputs_CPs!$G$10</f>
        <v>15</v>
      </c>
      <c r="AX22" s="410">
        <f>Inputs_CPs!$H$10</f>
        <v>15</v>
      </c>
      <c r="AY22" s="410">
        <f>Inputs_CPs!$I$10</f>
        <v>15</v>
      </c>
      <c r="AZ22" s="410">
        <f>Inputs_CPs!$N$10</f>
        <v>15</v>
      </c>
      <c r="BA22" s="410">
        <f>Inputs_CPs!$O$10</f>
        <v>15</v>
      </c>
      <c r="BB22" s="410">
        <f>Inputs_CPs!$K$10</f>
        <v>3</v>
      </c>
      <c r="BC22" s="410">
        <f>Inputs_CPs!$L$10</f>
        <v>3</v>
      </c>
      <c r="BD22" s="410">
        <f>Inputs_CPs!$M$10</f>
        <v>3</v>
      </c>
      <c r="BE22" s="264"/>
      <c r="BF22" s="736"/>
      <c r="BG22" s="411"/>
      <c r="BH22" s="264"/>
      <c r="BI22" s="263"/>
      <c r="BJ22" s="410">
        <f>Inputs_CPs!$F$10</f>
        <v>15</v>
      </c>
      <c r="BK22" s="410">
        <f>Inputs_CPs!$G$10</f>
        <v>15</v>
      </c>
      <c r="BL22" s="410">
        <f>Inputs_CPs!$H$10</f>
        <v>15</v>
      </c>
      <c r="BM22" s="410">
        <f>Inputs_CPs!$I$10</f>
        <v>15</v>
      </c>
      <c r="BN22" s="410">
        <f>Inputs_CPs!$N$10</f>
        <v>15</v>
      </c>
      <c r="BO22" s="410">
        <f>Inputs_CPs!$O$10</f>
        <v>15</v>
      </c>
      <c r="BP22" s="410">
        <f>Inputs_CPs!$K$10</f>
        <v>3</v>
      </c>
      <c r="BQ22" s="410">
        <f>Inputs_CPs!$L$10</f>
        <v>3</v>
      </c>
      <c r="BR22" s="410">
        <f>Inputs_CPs!$M$10</f>
        <v>3</v>
      </c>
      <c r="BS22" s="263"/>
    </row>
    <row r="23" spans="1:71" ht="24" customHeight="1" x14ac:dyDescent="0.2">
      <c r="A23" s="312"/>
      <c r="B23" s="401"/>
      <c r="C23" s="157"/>
      <c r="D23" s="431" t="s">
        <v>109</v>
      </c>
      <c r="E23" s="432" t="s">
        <v>139</v>
      </c>
      <c r="F23" s="433" t="s">
        <v>51</v>
      </c>
      <c r="G23" s="426" t="s">
        <v>50</v>
      </c>
      <c r="H23" s="434" t="s">
        <v>214</v>
      </c>
      <c r="I23" s="752" t="s">
        <v>239</v>
      </c>
      <c r="J23" s="435"/>
      <c r="K23" s="408">
        <f>Inputs_Estimates!$E$28</f>
        <v>0.2</v>
      </c>
      <c r="L23" s="408">
        <f>Inputs_Estimates!$F$28</f>
        <v>0.2</v>
      </c>
      <c r="M23" s="425"/>
      <c r="N23" s="264"/>
      <c r="O23" s="737" t="s">
        <v>402</v>
      </c>
      <c r="P23" s="264"/>
      <c r="Q23" s="264"/>
      <c r="R23" s="264"/>
      <c r="S23" s="410">
        <f t="shared" ref="S23:Y23" si="24">(1+CAPEX_Factor)*((SUMIFS(S$102:S$266,$E$102:$E$266,$E23,$H$102:$H$266,$H23)*(1-$K23))+(SUMIFS(S$271:S$364,$E$271:$E$364,$E23,$H$271:$H$364,$H23)*(1-$L23)))</f>
        <v>46.2</v>
      </c>
      <c r="T23" s="410">
        <f t="shared" si="24"/>
        <v>46.2</v>
      </c>
      <c r="U23" s="410">
        <f t="shared" si="24"/>
        <v>46.2</v>
      </c>
      <c r="V23" s="410">
        <f t="shared" si="24"/>
        <v>46.2</v>
      </c>
      <c r="W23" s="410">
        <f t="shared" si="24"/>
        <v>0</v>
      </c>
      <c r="X23" s="410">
        <f t="shared" si="24"/>
        <v>0</v>
      </c>
      <c r="Y23" s="410">
        <f t="shared" si="24"/>
        <v>13.860000000000003</v>
      </c>
      <c r="Z23" s="410">
        <f>(1+CAPEX_Factor)*((SUMIFS(Z$102:Z$266,$E$102:$E$266,$E23,$H$102:$H$266,$H23)*(1-$K23))+(SUMIFS(Z$271:Z$364,$E$271:$E$364,$E23,$H$271:$H$364,$H23)*(1-$L23)*TierA_TPI_BEefforts))</f>
        <v>3.3000000000000003</v>
      </c>
      <c r="AA23" s="410">
        <f>(1+CAPEX_Factor)*((SUMIFS(AA$102:AA$266,$E$102:$E$266,$E23,$H$102:$H$266,$H23)*(1-$K23))+(SUMIFS(AA$271:AA$364,$E$271:$E$364,$E23,$H$271:$H$364,$H23)*(1-$L23)*TierA_TPI_BEefforts))</f>
        <v>10.560000000000002</v>
      </c>
      <c r="AB23" s="264"/>
      <c r="AC23" s="737" t="s">
        <v>386</v>
      </c>
      <c r="AD23" s="411"/>
      <c r="AE23" s="264"/>
      <c r="AF23" s="263"/>
      <c r="AG23" s="410">
        <f t="shared" ref="AG23:AM23" si="25">(1+CAPEX_Factor)*((SUMIFS(AG$102:AG$266,$E$102:$E$266,$E23,$H$102:$H$266,$H23)*(1-$K23))+(SUMIFS(AG$271:AG$364,$E$271:$E$364,$E23,$H$271:$H$364,$H23)*(1-$L23)))</f>
        <v>46.2</v>
      </c>
      <c r="AH23" s="410">
        <f t="shared" si="25"/>
        <v>46.2</v>
      </c>
      <c r="AI23" s="410">
        <f t="shared" si="25"/>
        <v>46.2</v>
      </c>
      <c r="AJ23" s="410">
        <f t="shared" si="25"/>
        <v>46.2</v>
      </c>
      <c r="AK23" s="410">
        <f t="shared" si="25"/>
        <v>0</v>
      </c>
      <c r="AL23" s="410">
        <f t="shared" si="25"/>
        <v>0</v>
      </c>
      <c r="AM23" s="410">
        <f t="shared" si="25"/>
        <v>13.860000000000003</v>
      </c>
      <c r="AN23" s="410">
        <f>(1+CAPEX_Factor)*((SUMIFS(AN$102:AN$266,$E$102:$E$266,$E23,$H$102:$H$266,$H23)*(1-$K23))+(SUMIFS(AN$271:AN$364,$E$271:$E$364,$E23,$H$271:$H$364,$H23)*(1-$L23)*TierA_TPI_BEefforts))</f>
        <v>3.3000000000000003</v>
      </c>
      <c r="AO23" s="410">
        <f>(1+CAPEX_Factor)*((SUMIFS(AO$102:AO$266,$E$102:$E$266,$E23,$H$102:$H$266,$H23)*(1-$K23))+(SUMIFS(AO$271:AO$364,$E$271:$E$364,$E23,$H$271:$H$364,$H23)*(1-$L23)*TierA_TPI_BEefforts))</f>
        <v>10.560000000000002</v>
      </c>
      <c r="AP23" s="264"/>
      <c r="AQ23" s="264"/>
      <c r="AR23" s="737" t="s">
        <v>410</v>
      </c>
      <c r="AS23" s="411"/>
      <c r="AT23" s="264"/>
      <c r="AU23" s="263"/>
      <c r="AV23" s="410">
        <f t="shared" ref="AV23:BB23" si="26">(1+CAPEX_Factor)*((SUMIFS(AV$102:AV$266,$E$102:$E$266,$E23,$H$102:$H$266,$H23)*(1-$K23))+(SUMIFS(AV$271:AV$364,$E$271:$E$364,$E23,$H$271:$H$364,$H23)*(1-$L23)))</f>
        <v>54.120000000000005</v>
      </c>
      <c r="AW23" s="410">
        <f t="shared" si="26"/>
        <v>54.120000000000005</v>
      </c>
      <c r="AX23" s="410">
        <f t="shared" si="26"/>
        <v>54.120000000000005</v>
      </c>
      <c r="AY23" s="410">
        <f t="shared" si="26"/>
        <v>54.120000000000005</v>
      </c>
      <c r="AZ23" s="410">
        <f t="shared" si="26"/>
        <v>0</v>
      </c>
      <c r="BA23" s="410">
        <f t="shared" si="26"/>
        <v>0</v>
      </c>
      <c r="BB23" s="410">
        <f t="shared" si="26"/>
        <v>27.060000000000002</v>
      </c>
      <c r="BC23" s="410">
        <f>(1+CAPEX_Factor)*((SUMIFS(BC$102:BC$266,$E$102:$E$266,$E23,$H$102:$H$266,$H23)*(1-$K23))+(SUMIFS(BC$271:BC$364,$E$271:$E$364,$E23,$H$271:$H$364,$H23)*(1-$L23)*TierA_TPI_BEefforts))</f>
        <v>3.3000000000000003</v>
      </c>
      <c r="BD23" s="410">
        <f>(1+CAPEX_Factor)*((SUMIFS(BD$102:BD$266,$E$102:$E$266,$E23,$H$102:$H$266,$H23)*(1-$K23))+(SUMIFS(BD$271:BD$364,$E$271:$E$364,$E23,$H$271:$H$364,$H23)*(1-$L23)*TierA_TPI_BEefforts))</f>
        <v>23.760000000000005</v>
      </c>
      <c r="BE23" s="264"/>
      <c r="BF23" s="737" t="s">
        <v>418</v>
      </c>
      <c r="BG23" s="411"/>
      <c r="BH23" s="264"/>
      <c r="BI23" s="263"/>
      <c r="BJ23" s="410">
        <f t="shared" ref="BJ23:BP23" si="27">(1+CAPEX_Factor)*((SUMIFS(BJ$102:BJ$266,$E$102:$E$266,$E23,$H$102:$H$266,$H23)*(1-$K23))+(SUMIFS(BJ$271:BJ$364,$E$271:$E$364,$E23,$H$271:$H$364,$H23)*(1-$L23)))</f>
        <v>54.120000000000005</v>
      </c>
      <c r="BK23" s="410">
        <f t="shared" si="27"/>
        <v>54.120000000000005</v>
      </c>
      <c r="BL23" s="410">
        <f t="shared" si="27"/>
        <v>54.120000000000005</v>
      </c>
      <c r="BM23" s="410">
        <f t="shared" si="27"/>
        <v>54.120000000000005</v>
      </c>
      <c r="BN23" s="410">
        <f t="shared" si="27"/>
        <v>0</v>
      </c>
      <c r="BO23" s="410">
        <f t="shared" si="27"/>
        <v>0</v>
      </c>
      <c r="BP23" s="410">
        <f t="shared" si="27"/>
        <v>27.060000000000002</v>
      </c>
      <c r="BQ23" s="410">
        <f>(1+CAPEX_Factor)*((SUMIFS(BQ$102:BQ$266,$E$102:$E$266,$E23,$H$102:$H$266,$H23)*(1-$K23))+(SUMIFS(BQ$271:BQ$364,$E$271:$E$364,$E23,$H$271:$H$364,$H23)*(1-$L23)*TierA_TPI_BEefforts))</f>
        <v>3.3000000000000003</v>
      </c>
      <c r="BR23" s="410">
        <f>(1+CAPEX_Factor)*((SUMIFS(BR$102:BR$266,$E$102:$E$266,$E23,$H$102:$H$266,$H23)*(1-$K23))+(SUMIFS(BR$271:BR$364,$E$271:$E$364,$E23,$H$271:$H$364,$H23)*(1-$L23)*TierA_TPI_BEefforts))</f>
        <v>23.760000000000005</v>
      </c>
      <c r="BS23" s="263"/>
    </row>
    <row r="24" spans="1:71" ht="24" customHeight="1" x14ac:dyDescent="0.2">
      <c r="A24" s="312"/>
      <c r="B24" s="401"/>
      <c r="C24" s="157"/>
      <c r="D24" s="431" t="s">
        <v>109</v>
      </c>
      <c r="E24" s="432" t="s">
        <v>139</v>
      </c>
      <c r="F24" s="433" t="s">
        <v>49</v>
      </c>
      <c r="G24" s="426" t="s">
        <v>47</v>
      </c>
      <c r="H24" s="434" t="s">
        <v>118</v>
      </c>
      <c r="I24" s="752"/>
      <c r="J24" s="436"/>
      <c r="K24" s="408" t="s">
        <v>58</v>
      </c>
      <c r="L24" s="408" t="s">
        <v>58</v>
      </c>
      <c r="M24" s="425"/>
      <c r="N24" s="264"/>
      <c r="O24" s="737"/>
      <c r="P24" s="264"/>
      <c r="Q24" s="264"/>
      <c r="R24" s="264"/>
      <c r="S24" s="408">
        <f>Inputs_CPs!$F$13</f>
        <v>0.2</v>
      </c>
      <c r="T24" s="408">
        <f>Inputs_CPs!$G$13</f>
        <v>0.2</v>
      </c>
      <c r="U24" s="408">
        <f>Inputs_CPs!$H$13</f>
        <v>0.2</v>
      </c>
      <c r="V24" s="408">
        <f>Inputs_CPs!$I$13</f>
        <v>0.2</v>
      </c>
      <c r="W24" s="408">
        <f>Inputs_CPs!$N$13</f>
        <v>0.2</v>
      </c>
      <c r="X24" s="408">
        <f>Inputs_CPs!$O$13</f>
        <v>0.2</v>
      </c>
      <c r="Y24" s="408">
        <f>Inputs_CPs!$K$13</f>
        <v>0.2</v>
      </c>
      <c r="Z24" s="408">
        <f>Inputs_CPs!$L$13</f>
        <v>0.2</v>
      </c>
      <c r="AA24" s="408">
        <f>Inputs_CPs!$M$13</f>
        <v>0.2</v>
      </c>
      <c r="AB24" s="264"/>
      <c r="AC24" s="737"/>
      <c r="AD24" s="411"/>
      <c r="AE24" s="264"/>
      <c r="AF24" s="263"/>
      <c r="AG24" s="408">
        <f>Inputs_CPs!$F$13</f>
        <v>0.2</v>
      </c>
      <c r="AH24" s="408">
        <f>Inputs_CPs!$G$13</f>
        <v>0.2</v>
      </c>
      <c r="AI24" s="408">
        <f>Inputs_CPs!$H$13</f>
        <v>0.2</v>
      </c>
      <c r="AJ24" s="408">
        <f>Inputs_CPs!$I$13</f>
        <v>0.2</v>
      </c>
      <c r="AK24" s="408">
        <f>Inputs_CPs!$N$13</f>
        <v>0.2</v>
      </c>
      <c r="AL24" s="408">
        <f>Inputs_CPs!$O$13</f>
        <v>0.2</v>
      </c>
      <c r="AM24" s="408">
        <f>Inputs_CPs!$K$13</f>
        <v>0.2</v>
      </c>
      <c r="AN24" s="408">
        <f>Inputs_CPs!$L$13</f>
        <v>0.2</v>
      </c>
      <c r="AO24" s="408">
        <f>Inputs_CPs!$M$13</f>
        <v>0.2</v>
      </c>
      <c r="AP24" s="264"/>
      <c r="AQ24" s="264"/>
      <c r="AR24" s="737"/>
      <c r="AS24" s="411"/>
      <c r="AT24" s="264"/>
      <c r="AU24" s="263"/>
      <c r="AV24" s="408">
        <f>Inputs_CPs!$F$13</f>
        <v>0.2</v>
      </c>
      <c r="AW24" s="408">
        <f>Inputs_CPs!$G$13</f>
        <v>0.2</v>
      </c>
      <c r="AX24" s="408">
        <f>Inputs_CPs!$H$13</f>
        <v>0.2</v>
      </c>
      <c r="AY24" s="408">
        <f>Inputs_CPs!$I$13</f>
        <v>0.2</v>
      </c>
      <c r="AZ24" s="408">
        <f>Inputs_CPs!$N$13</f>
        <v>0.2</v>
      </c>
      <c r="BA24" s="408">
        <f>Inputs_CPs!$O$13</f>
        <v>0.2</v>
      </c>
      <c r="BB24" s="408">
        <f>Inputs_CPs!$K$13</f>
        <v>0.2</v>
      </c>
      <c r="BC24" s="408">
        <f>Inputs_CPs!$L$13</f>
        <v>0.2</v>
      </c>
      <c r="BD24" s="408">
        <f>Inputs_CPs!$M$13</f>
        <v>0.2</v>
      </c>
      <c r="BE24" s="264"/>
      <c r="BF24" s="737"/>
      <c r="BG24" s="411"/>
      <c r="BH24" s="264"/>
      <c r="BI24" s="263"/>
      <c r="BJ24" s="408">
        <f>Inputs_CPs!$F$13</f>
        <v>0.2</v>
      </c>
      <c r="BK24" s="408">
        <f>Inputs_CPs!$G$13</f>
        <v>0.2</v>
      </c>
      <c r="BL24" s="408">
        <f>Inputs_CPs!$H$13</f>
        <v>0.2</v>
      </c>
      <c r="BM24" s="408">
        <f>Inputs_CPs!$I$13</f>
        <v>0.2</v>
      </c>
      <c r="BN24" s="408">
        <f>Inputs_CPs!$N$13</f>
        <v>0.2</v>
      </c>
      <c r="BO24" s="408">
        <f>Inputs_CPs!$O$13</f>
        <v>0.2</v>
      </c>
      <c r="BP24" s="408">
        <f>Inputs_CPs!$K$13</f>
        <v>0.2</v>
      </c>
      <c r="BQ24" s="408">
        <f>Inputs_CPs!$L$13</f>
        <v>0.2</v>
      </c>
      <c r="BR24" s="408">
        <f>Inputs_CPs!$M$13</f>
        <v>0.2</v>
      </c>
      <c r="BS24" s="263"/>
    </row>
    <row r="25" spans="1:71" ht="24" customHeight="1" x14ac:dyDescent="0.2">
      <c r="A25" s="312"/>
      <c r="B25" s="401"/>
      <c r="C25" s="157"/>
      <c r="D25" s="431" t="s">
        <v>109</v>
      </c>
      <c r="E25" s="432" t="s">
        <v>139</v>
      </c>
      <c r="F25" s="433" t="s">
        <v>51</v>
      </c>
      <c r="G25" s="426" t="s">
        <v>50</v>
      </c>
      <c r="H25" s="434" t="s">
        <v>117</v>
      </c>
      <c r="I25" s="752"/>
      <c r="J25" s="436"/>
      <c r="K25" s="408">
        <f>Inputs_Estimates!$E$28</f>
        <v>0.2</v>
      </c>
      <c r="L25" s="408">
        <f>Inputs_Estimates!$F$28</f>
        <v>0.2</v>
      </c>
      <c r="M25" s="425"/>
      <c r="N25" s="264"/>
      <c r="O25" s="737"/>
      <c r="P25" s="264"/>
      <c r="Q25" s="264"/>
      <c r="R25" s="264"/>
      <c r="S25" s="410">
        <f t="shared" ref="S25:Y25" si="28">(1+CAPEX_Factor)*((SUMIFS(S$102:S$266,$E$102:$E$266,$E25,$H$102:$H$266,$H25)*(1-$K25))+(SUMIFS(S$271:S$364,$E$271:$E$364,$E25,$H$271:$H$364,$H25)*(1-$L25)))</f>
        <v>0.96000000000000019</v>
      </c>
      <c r="T25" s="410">
        <f t="shared" si="28"/>
        <v>1.3600000000000003</v>
      </c>
      <c r="U25" s="410">
        <f t="shared" si="28"/>
        <v>0.96000000000000019</v>
      </c>
      <c r="V25" s="410">
        <f t="shared" si="28"/>
        <v>0.96000000000000019</v>
      </c>
      <c r="W25" s="410">
        <f t="shared" si="28"/>
        <v>0</v>
      </c>
      <c r="X25" s="410">
        <f t="shared" si="28"/>
        <v>0</v>
      </c>
      <c r="Y25" s="410">
        <f t="shared" si="28"/>
        <v>0.96000000000000019</v>
      </c>
      <c r="Z25" s="410">
        <f>(1+CAPEX_Factor)*((SUMIFS(Z$102:Z$266,$E$102:$E$266,$E25,$H$102:$H$266,$H25)*(1-$K25))+(SUMIFS(Z$271:Z$364,$E$271:$E$364,$E25,$H$271:$H$364,$H25)*(1-$L25)*TierA_TPI_BEefforts))</f>
        <v>0.96000000000000019</v>
      </c>
      <c r="AA25" s="410">
        <f>(1+CAPEX_Factor)*((SUMIFS(AA$102:AA$266,$E$102:$E$266,$E25,$H$102:$H$266,$H25)*(1-$K25))+(SUMIFS(AA$271:AA$364,$E$271:$E$364,$E25,$H$271:$H$364,$H25)*(1-$L25)*TierA_TPI_BEefforts))</f>
        <v>0</v>
      </c>
      <c r="AB25" s="264"/>
      <c r="AC25" s="737"/>
      <c r="AD25" s="411"/>
      <c r="AE25" s="264"/>
      <c r="AF25" s="263"/>
      <c r="AG25" s="410">
        <f t="shared" ref="AG25:AM25" si="29">(1+CAPEX_Factor)*((SUMIFS(AG$102:AG$266,$E$102:$E$266,$E25,$H$102:$H$266,$H25)*(1-$K25))+(SUMIFS(AG$271:AG$364,$E$271:$E$364,$E25,$H$271:$H$364,$H25)*(1-$L25)))</f>
        <v>0.96000000000000019</v>
      </c>
      <c r="AH25" s="410">
        <f t="shared" si="29"/>
        <v>1.3600000000000003</v>
      </c>
      <c r="AI25" s="410">
        <f t="shared" si="29"/>
        <v>0.96000000000000019</v>
      </c>
      <c r="AJ25" s="410">
        <f t="shared" si="29"/>
        <v>0.96000000000000019</v>
      </c>
      <c r="AK25" s="410">
        <f t="shared" si="29"/>
        <v>0</v>
      </c>
      <c r="AL25" s="410">
        <f t="shared" si="29"/>
        <v>0</v>
      </c>
      <c r="AM25" s="410">
        <f t="shared" si="29"/>
        <v>0.96000000000000019</v>
      </c>
      <c r="AN25" s="410">
        <f>(1+CAPEX_Factor)*((SUMIFS(AN$102:AN$266,$E$102:$E$266,$E25,$H$102:$H$266,$H25)*(1-$K25))+(SUMIFS(AN$271:AN$364,$E$271:$E$364,$E25,$H$271:$H$364,$H25)*(1-$L25)*TierA_TPI_BEefforts))</f>
        <v>0.96000000000000019</v>
      </c>
      <c r="AO25" s="410">
        <f>(1+CAPEX_Factor)*((SUMIFS(AO$102:AO$266,$E$102:$E$266,$E25,$H$102:$H$266,$H25)*(1-$K25))+(SUMIFS(AO$271:AO$364,$E$271:$E$364,$E25,$H$271:$H$364,$H25)*(1-$L25)*TierA_TPI_BEefforts))</f>
        <v>0</v>
      </c>
      <c r="AP25" s="264"/>
      <c r="AQ25" s="264"/>
      <c r="AR25" s="737"/>
      <c r="AS25" s="411"/>
      <c r="AT25" s="264"/>
      <c r="AU25" s="263"/>
      <c r="AV25" s="410">
        <f t="shared" ref="AV25:BB25" si="30">(1+CAPEX_Factor)*((SUMIFS(AV$102:AV$266,$E$102:$E$266,$E25,$H$102:$H$266,$H25)*(1-$K25))+(SUMIFS(AV$271:AV$364,$E$271:$E$364,$E25,$H$271:$H$364,$H25)*(1-$L25)))</f>
        <v>0.96000000000000019</v>
      </c>
      <c r="AW25" s="410">
        <f t="shared" si="30"/>
        <v>1.3600000000000003</v>
      </c>
      <c r="AX25" s="410">
        <f t="shared" si="30"/>
        <v>0.96000000000000019</v>
      </c>
      <c r="AY25" s="410">
        <f t="shared" si="30"/>
        <v>0.96000000000000019</v>
      </c>
      <c r="AZ25" s="410">
        <f t="shared" si="30"/>
        <v>0</v>
      </c>
      <c r="BA25" s="410">
        <f t="shared" si="30"/>
        <v>0</v>
      </c>
      <c r="BB25" s="410">
        <f t="shared" si="30"/>
        <v>0.96000000000000019</v>
      </c>
      <c r="BC25" s="410">
        <f>(1+CAPEX_Factor)*((SUMIFS(BC$102:BC$266,$E$102:$E$266,$E25,$H$102:$H$266,$H25)*(1-$K25))+(SUMIFS(BC$271:BC$364,$E$271:$E$364,$E25,$H$271:$H$364,$H25)*(1-$L25)*TierA_TPI_BEefforts))</f>
        <v>0.96000000000000019</v>
      </c>
      <c r="BD25" s="410">
        <f>(1+CAPEX_Factor)*((SUMIFS(BD$102:BD$266,$E$102:$E$266,$E25,$H$102:$H$266,$H25)*(1-$K25))+(SUMIFS(BD$271:BD$364,$E$271:$E$364,$E25,$H$271:$H$364,$H25)*(1-$L25)*TierA_TPI_BEefforts))</f>
        <v>0</v>
      </c>
      <c r="BE25" s="264"/>
      <c r="BF25" s="737"/>
      <c r="BG25" s="411"/>
      <c r="BH25" s="264"/>
      <c r="BI25" s="263"/>
      <c r="BJ25" s="410">
        <f t="shared" ref="BJ25:BP25" si="31">(1+CAPEX_Factor)*((SUMIFS(BJ$102:BJ$266,$E$102:$E$266,$E25,$H$102:$H$266,$H25)*(1-$K25))+(SUMIFS(BJ$271:BJ$364,$E$271:$E$364,$E25,$H$271:$H$364,$H25)*(1-$L25)))</f>
        <v>0.96000000000000019</v>
      </c>
      <c r="BK25" s="410">
        <f t="shared" si="31"/>
        <v>1.3600000000000003</v>
      </c>
      <c r="BL25" s="410">
        <f t="shared" si="31"/>
        <v>0.96000000000000019</v>
      </c>
      <c r="BM25" s="410">
        <f t="shared" si="31"/>
        <v>0.96000000000000019</v>
      </c>
      <c r="BN25" s="410">
        <f t="shared" si="31"/>
        <v>0</v>
      </c>
      <c r="BO25" s="410">
        <f t="shared" si="31"/>
        <v>0</v>
      </c>
      <c r="BP25" s="410">
        <f t="shared" si="31"/>
        <v>0.96000000000000019</v>
      </c>
      <c r="BQ25" s="410">
        <f>(1+CAPEX_Factor)*((SUMIFS(BQ$102:BQ$266,$E$102:$E$266,$E25,$H$102:$H$266,$H25)*(1-$K25))+(SUMIFS(BQ$271:BQ$364,$E$271:$E$364,$E25,$H$271:$H$364,$H25)*(1-$L25)*TierA_TPI_BEefforts))</f>
        <v>0.96000000000000019</v>
      </c>
      <c r="BR25" s="410">
        <f>(1+CAPEX_Factor)*((SUMIFS(BR$102:BR$266,$E$102:$E$266,$E25,$H$102:$H$266,$H25)*(1-$K25))+(SUMIFS(BR$271:BR$364,$E$271:$E$364,$E25,$H$271:$H$364,$H25)*(1-$L25)*TierA_TPI_BEefforts))</f>
        <v>0</v>
      </c>
      <c r="BS25" s="263"/>
    </row>
    <row r="26" spans="1:71" ht="24" customHeight="1" x14ac:dyDescent="0.2">
      <c r="A26" s="312"/>
      <c r="B26" s="401"/>
      <c r="C26" s="157"/>
      <c r="D26" s="431" t="s">
        <v>109</v>
      </c>
      <c r="E26" s="432" t="s">
        <v>139</v>
      </c>
      <c r="F26" s="433" t="s">
        <v>48</v>
      </c>
      <c r="G26" s="426" t="s">
        <v>50</v>
      </c>
      <c r="H26" s="434" t="s">
        <v>153</v>
      </c>
      <c r="I26" s="752"/>
      <c r="J26" s="436"/>
      <c r="K26" s="408" t="s">
        <v>58</v>
      </c>
      <c r="L26" s="408" t="s">
        <v>58</v>
      </c>
      <c r="M26" s="425"/>
      <c r="N26" s="264"/>
      <c r="O26" s="737"/>
      <c r="P26" s="264"/>
      <c r="Q26" s="264"/>
      <c r="R26" s="264"/>
      <c r="S26" s="418">
        <f>Inputs_CPs!$F$9</f>
        <v>0</v>
      </c>
      <c r="T26" s="418">
        <f>Inputs_CPs!$G$9</f>
        <v>0</v>
      </c>
      <c r="U26" s="418">
        <f>Inputs_CPs!$H$9</f>
        <v>0</v>
      </c>
      <c r="V26" s="418">
        <f>Inputs_CPs!$I$9</f>
        <v>0</v>
      </c>
      <c r="W26" s="418">
        <f>Inputs_CPs!$N$9</f>
        <v>0</v>
      </c>
      <c r="X26" s="418">
        <f>Inputs_CPs!$O$9</f>
        <v>0</v>
      </c>
      <c r="Y26" s="418">
        <f>Inputs_CPs!$K$9</f>
        <v>100</v>
      </c>
      <c r="Z26" s="418">
        <f>Inputs_CPs!$L$9</f>
        <v>5</v>
      </c>
      <c r="AA26" s="418">
        <f>Inputs_CPs!$M$9</f>
        <v>0</v>
      </c>
      <c r="AB26" s="264"/>
      <c r="AC26" s="737"/>
      <c r="AD26" s="411"/>
      <c r="AE26" s="264"/>
      <c r="AF26" s="263"/>
      <c r="AG26" s="418">
        <f>Inputs_CPs!$F$9</f>
        <v>0</v>
      </c>
      <c r="AH26" s="418">
        <f>Inputs_CPs!$G$9</f>
        <v>0</v>
      </c>
      <c r="AI26" s="418">
        <f>Inputs_CPs!$H$9</f>
        <v>0</v>
      </c>
      <c r="AJ26" s="418">
        <f>Inputs_CPs!$I$9</f>
        <v>0</v>
      </c>
      <c r="AK26" s="418">
        <f>Inputs_CPs!$N$9</f>
        <v>0</v>
      </c>
      <c r="AL26" s="418">
        <f>Inputs_CPs!$O$9</f>
        <v>0</v>
      </c>
      <c r="AM26" s="418">
        <f>Inputs_CPs!$K$9</f>
        <v>100</v>
      </c>
      <c r="AN26" s="418">
        <f>Inputs_CPs!$L$9</f>
        <v>5</v>
      </c>
      <c r="AO26" s="418">
        <f>Inputs_CPs!$M$9</f>
        <v>0</v>
      </c>
      <c r="AP26" s="264"/>
      <c r="AQ26" s="264"/>
      <c r="AR26" s="737"/>
      <c r="AS26" s="411"/>
      <c r="AT26" s="264"/>
      <c r="AU26" s="263"/>
      <c r="AV26" s="418">
        <f>Inputs_CPs!$F$9</f>
        <v>0</v>
      </c>
      <c r="AW26" s="418">
        <f>Inputs_CPs!$G$9</f>
        <v>0</v>
      </c>
      <c r="AX26" s="418">
        <f>Inputs_CPs!$H$9</f>
        <v>0</v>
      </c>
      <c r="AY26" s="418">
        <f>Inputs_CPs!$I$9</f>
        <v>0</v>
      </c>
      <c r="AZ26" s="418">
        <f>Inputs_CPs!$N$9</f>
        <v>0</v>
      </c>
      <c r="BA26" s="418">
        <f>Inputs_CPs!$O$9</f>
        <v>0</v>
      </c>
      <c r="BB26" s="418">
        <f>Inputs_CPs!$K$9</f>
        <v>100</v>
      </c>
      <c r="BC26" s="418">
        <f>Inputs_CPs!$L$9</f>
        <v>5</v>
      </c>
      <c r="BD26" s="418">
        <f>Inputs_CPs!$M$9</f>
        <v>0</v>
      </c>
      <c r="BE26" s="264"/>
      <c r="BF26" s="737"/>
      <c r="BG26" s="411"/>
      <c r="BH26" s="264"/>
      <c r="BI26" s="263"/>
      <c r="BJ26" s="418">
        <f>Inputs_CPs!$F$9</f>
        <v>0</v>
      </c>
      <c r="BK26" s="418">
        <f>Inputs_CPs!$G$9</f>
        <v>0</v>
      </c>
      <c r="BL26" s="418">
        <f>Inputs_CPs!$H$9</f>
        <v>0</v>
      </c>
      <c r="BM26" s="418">
        <f>Inputs_CPs!$I$9</f>
        <v>0</v>
      </c>
      <c r="BN26" s="418">
        <f>Inputs_CPs!$N$9</f>
        <v>0</v>
      </c>
      <c r="BO26" s="418">
        <f>Inputs_CPs!$O$9</f>
        <v>0</v>
      </c>
      <c r="BP26" s="418">
        <f>Inputs_CPs!$K$9</f>
        <v>100</v>
      </c>
      <c r="BQ26" s="418">
        <f>Inputs_CPs!$L$9</f>
        <v>5</v>
      </c>
      <c r="BR26" s="418">
        <f>Inputs_CPs!$M$9</f>
        <v>0</v>
      </c>
      <c r="BS26" s="263"/>
    </row>
    <row r="27" spans="1:71" ht="24" customHeight="1" x14ac:dyDescent="0.2">
      <c r="A27" s="312"/>
      <c r="B27" s="437"/>
      <c r="C27" s="171"/>
      <c r="D27" s="412" t="s">
        <v>109</v>
      </c>
      <c r="E27" s="438" t="s">
        <v>166</v>
      </c>
      <c r="F27" s="414" t="s">
        <v>51</v>
      </c>
      <c r="G27" s="413" t="s">
        <v>50</v>
      </c>
      <c r="H27" s="416" t="s">
        <v>214</v>
      </c>
      <c r="I27" s="736" t="s">
        <v>240</v>
      </c>
      <c r="J27" s="407"/>
      <c r="K27" s="408">
        <f>Inputs_Estimates!$E$28</f>
        <v>0.2</v>
      </c>
      <c r="L27" s="408">
        <f>Inputs_Estimates!$F$28</f>
        <v>0.2</v>
      </c>
      <c r="M27" s="439" t="s">
        <v>234</v>
      </c>
      <c r="N27" s="264"/>
      <c r="O27" s="736" t="s">
        <v>403</v>
      </c>
      <c r="P27" s="264"/>
      <c r="Q27" s="264"/>
      <c r="R27" s="264"/>
      <c r="S27" s="410">
        <f t="shared" ref="S27:Y27" si="32">(1+CAPEX_Factor)*((SUMIFS(S$102:S$266,$E$102:$E$266,$E27,$H$102:$H$266,$H27)*(1-$K27))+(SUMIFS(S$271:S$364,$E$271:$E$364,$E27,$H$271:$H$364,$H27)*(1-$L27)))</f>
        <v>2.6400000000000006</v>
      </c>
      <c r="T27" s="410">
        <f t="shared" si="32"/>
        <v>2.6400000000000006</v>
      </c>
      <c r="U27" s="410">
        <f t="shared" si="32"/>
        <v>2.6400000000000006</v>
      </c>
      <c r="V27" s="410">
        <f t="shared" si="32"/>
        <v>2.6400000000000006</v>
      </c>
      <c r="W27" s="410">
        <f t="shared" si="32"/>
        <v>0</v>
      </c>
      <c r="X27" s="410">
        <f t="shared" si="32"/>
        <v>0</v>
      </c>
      <c r="Y27" s="410">
        <f t="shared" si="32"/>
        <v>0</v>
      </c>
      <c r="Z27" s="410">
        <f>(1+CAPEX_Factor)*((SUMIFS(Z$102:Z$266,$E$102:$E$266,$E27,$H$102:$H$266,$H27)*(1-$K27))+(SUMIFS(Z$271:Z$364,$E$271:$E$364,$E27,$H$271:$H$364,$H27)*(1-$L27)*TierA_TPI_BEefforts))</f>
        <v>0</v>
      </c>
      <c r="AA27" s="410">
        <f>(1+CAPEX_Factor)*((SUMIFS(AA$102:AA$266,$E$102:$E$266,$E27,$H$102:$H$266,$H27)*(1-$K27))+(SUMIFS(AA$271:AA$364,$E$271:$E$364,$E27,$H$271:$H$364,$H27)*(1-$L27)*TierA_TPI_BEefforts))</f>
        <v>0</v>
      </c>
      <c r="AB27" s="264"/>
      <c r="AC27" s="736" t="s">
        <v>387</v>
      </c>
      <c r="AD27" s="411"/>
      <c r="AE27" s="264"/>
      <c r="AF27" s="263"/>
      <c r="AG27" s="410">
        <f t="shared" ref="AG27:AM27" si="33">(1+CAPEX_Factor)*((SUMIFS(AG$102:AG$266,$E$102:$E$266,$E27,$H$102:$H$266,$H27)*(1-$K27))+(SUMIFS(AG$271:AG$364,$E$271:$E$364,$E27,$H$271:$H$364,$H27)*(1-$L27)))</f>
        <v>2.6400000000000006</v>
      </c>
      <c r="AH27" s="410">
        <f t="shared" si="33"/>
        <v>2.6400000000000006</v>
      </c>
      <c r="AI27" s="410">
        <f t="shared" si="33"/>
        <v>2.6400000000000006</v>
      </c>
      <c r="AJ27" s="410">
        <f t="shared" si="33"/>
        <v>2.6400000000000006</v>
      </c>
      <c r="AK27" s="410">
        <f t="shared" si="33"/>
        <v>0</v>
      </c>
      <c r="AL27" s="410">
        <f t="shared" si="33"/>
        <v>0</v>
      </c>
      <c r="AM27" s="410">
        <f t="shared" si="33"/>
        <v>0</v>
      </c>
      <c r="AN27" s="410">
        <f>(1+CAPEX_Factor)*((SUMIFS(AN$102:AN$266,$E$102:$E$266,$E27,$H$102:$H$266,$H27)*(1-$K27))+(SUMIFS(AN$271:AN$364,$E$271:$E$364,$E27,$H$271:$H$364,$H27)*(1-$L27)*TierA_TPI_BEefforts))</f>
        <v>0</v>
      </c>
      <c r="AO27" s="410">
        <f>(1+CAPEX_Factor)*((SUMIFS(AO$102:AO$266,$E$102:$E$266,$E27,$H$102:$H$266,$H27)*(1-$K27))+(SUMIFS(AO$271:AO$364,$E$271:$E$364,$E27,$H$271:$H$364,$H27)*(1-$L27)*TierA_TPI_BEefforts))</f>
        <v>0</v>
      </c>
      <c r="AP27" s="264"/>
      <c r="AQ27" s="264"/>
      <c r="AR27" s="736" t="s">
        <v>411</v>
      </c>
      <c r="AS27" s="440"/>
      <c r="AT27" s="264"/>
      <c r="AU27" s="263"/>
      <c r="AV27" s="410">
        <f t="shared" ref="AV27:BB27" si="34">(1+CAPEX_Factor)*((SUMIFS(AV$102:AV$266,$E$102:$E$266,$E27,$H$102:$H$266,$H27)*(1-$K27))+(SUMIFS(AV$271:AV$364,$E$271:$E$364,$E27,$H$271:$H$364,$H27)*(1-$L27)))</f>
        <v>18.48</v>
      </c>
      <c r="AW27" s="410">
        <f t="shared" si="34"/>
        <v>18.48</v>
      </c>
      <c r="AX27" s="410">
        <f t="shared" si="34"/>
        <v>18.48</v>
      </c>
      <c r="AY27" s="410">
        <f t="shared" si="34"/>
        <v>18.48</v>
      </c>
      <c r="AZ27" s="410">
        <f t="shared" si="34"/>
        <v>0</v>
      </c>
      <c r="BA27" s="410">
        <f t="shared" si="34"/>
        <v>0</v>
      </c>
      <c r="BB27" s="410">
        <f t="shared" si="34"/>
        <v>9.24</v>
      </c>
      <c r="BC27" s="410">
        <f>(1+CAPEX_Factor)*((SUMIFS(BC$102:BC$266,$E$102:$E$266,$E27,$H$102:$H$266,$H27)*(1-$K27))+(SUMIFS(BC$271:BC$364,$E$271:$E$364,$E27,$H$271:$H$364,$H27)*(1-$L27)*TierA_TPI_BEefforts))</f>
        <v>0</v>
      </c>
      <c r="BD27" s="410">
        <f>(1+CAPEX_Factor)*((SUMIFS(BD$102:BD$266,$E$102:$E$266,$E27,$H$102:$H$266,$H27)*(1-$K27))+(SUMIFS(BD$271:BD$364,$E$271:$E$364,$E27,$H$271:$H$364,$H27)*(1-$L27)*TierA_TPI_BEefforts))</f>
        <v>9.24</v>
      </c>
      <c r="BE27" s="264"/>
      <c r="BF27" s="736" t="s">
        <v>419</v>
      </c>
      <c r="BG27" s="440"/>
      <c r="BH27" s="264"/>
      <c r="BI27" s="263"/>
      <c r="BJ27" s="410">
        <f t="shared" ref="BJ27:BP27" si="35">(1+CAPEX_Factor)*((SUMIFS(BJ$102:BJ$266,$E$102:$E$266,$E27,$H$102:$H$266,$H27)*(1-$K27))+(SUMIFS(BJ$271:BJ$364,$E$271:$E$364,$E27,$H$271:$H$364,$H27)*(1-$L27)))</f>
        <v>18.48</v>
      </c>
      <c r="BK27" s="410">
        <f t="shared" si="35"/>
        <v>18.48</v>
      </c>
      <c r="BL27" s="410">
        <f t="shared" si="35"/>
        <v>18.48</v>
      </c>
      <c r="BM27" s="410">
        <f t="shared" si="35"/>
        <v>18.48</v>
      </c>
      <c r="BN27" s="410">
        <f t="shared" si="35"/>
        <v>0</v>
      </c>
      <c r="BO27" s="410">
        <f t="shared" si="35"/>
        <v>0</v>
      </c>
      <c r="BP27" s="410">
        <f t="shared" si="35"/>
        <v>9.24</v>
      </c>
      <c r="BQ27" s="410">
        <f>(1+CAPEX_Factor)*((SUMIFS(BQ$102:BQ$266,$E$102:$E$266,$E27,$H$102:$H$266,$H27)*(1-$K27))+(SUMIFS(BQ$271:BQ$364,$E$271:$E$364,$E27,$H$271:$H$364,$H27)*(1-$L27)*TierA_TPI_BEefforts))</f>
        <v>0</v>
      </c>
      <c r="BR27" s="410">
        <f>(1+CAPEX_Factor)*((SUMIFS(BR$102:BR$266,$E$102:$E$266,$E27,$H$102:$H$266,$H27)*(1-$K27))+(SUMIFS(BR$271:BR$364,$E$271:$E$364,$E27,$H$271:$H$364,$H27)*(1-$L27)*TierA_TPI_BEefforts))</f>
        <v>9.24</v>
      </c>
      <c r="BS27" s="263"/>
    </row>
    <row r="28" spans="1:71" ht="24" customHeight="1" x14ac:dyDescent="0.2">
      <c r="A28" s="312"/>
      <c r="B28" s="437"/>
      <c r="C28" s="171"/>
      <c r="D28" s="412" t="s">
        <v>109</v>
      </c>
      <c r="E28" s="438" t="s">
        <v>166</v>
      </c>
      <c r="F28" s="414" t="s">
        <v>49</v>
      </c>
      <c r="G28" s="413" t="s">
        <v>47</v>
      </c>
      <c r="H28" s="416" t="s">
        <v>118</v>
      </c>
      <c r="I28" s="736"/>
      <c r="J28" s="407"/>
      <c r="K28" s="408" t="s">
        <v>58</v>
      </c>
      <c r="L28" s="408" t="s">
        <v>58</v>
      </c>
      <c r="M28" s="439"/>
      <c r="N28" s="264"/>
      <c r="O28" s="736"/>
      <c r="P28" s="264"/>
      <c r="Q28" s="264"/>
      <c r="R28" s="264"/>
      <c r="S28" s="408">
        <f>Inputs_CPs!$F$13</f>
        <v>0.2</v>
      </c>
      <c r="T28" s="408">
        <f>Inputs_CPs!$G$13</f>
        <v>0.2</v>
      </c>
      <c r="U28" s="408">
        <f>Inputs_CPs!$H$13</f>
        <v>0.2</v>
      </c>
      <c r="V28" s="408">
        <f>Inputs_CPs!$I$13</f>
        <v>0.2</v>
      </c>
      <c r="W28" s="408">
        <f>Inputs_CPs!$N$13</f>
        <v>0.2</v>
      </c>
      <c r="X28" s="408">
        <f>Inputs_CPs!$O$13</f>
        <v>0.2</v>
      </c>
      <c r="Y28" s="408">
        <f>Inputs_CPs!$K$13</f>
        <v>0.2</v>
      </c>
      <c r="Z28" s="408">
        <f>Inputs_CPs!$L$13</f>
        <v>0.2</v>
      </c>
      <c r="AA28" s="408">
        <f>Inputs_CPs!$M$13</f>
        <v>0.2</v>
      </c>
      <c r="AB28" s="264"/>
      <c r="AC28" s="736"/>
      <c r="AD28" s="411"/>
      <c r="AE28" s="264"/>
      <c r="AF28" s="263"/>
      <c r="AG28" s="408">
        <f>Inputs_CPs!$F$13</f>
        <v>0.2</v>
      </c>
      <c r="AH28" s="408">
        <f>Inputs_CPs!$G$13</f>
        <v>0.2</v>
      </c>
      <c r="AI28" s="408">
        <f>Inputs_CPs!$H$13</f>
        <v>0.2</v>
      </c>
      <c r="AJ28" s="408">
        <f>Inputs_CPs!$I$13</f>
        <v>0.2</v>
      </c>
      <c r="AK28" s="408">
        <f>Inputs_CPs!$N$13</f>
        <v>0.2</v>
      </c>
      <c r="AL28" s="408">
        <f>Inputs_CPs!$O$13</f>
        <v>0.2</v>
      </c>
      <c r="AM28" s="408">
        <f>Inputs_CPs!$K$13</f>
        <v>0.2</v>
      </c>
      <c r="AN28" s="408">
        <f>Inputs_CPs!$L$13</f>
        <v>0.2</v>
      </c>
      <c r="AO28" s="408">
        <f>Inputs_CPs!$M$13</f>
        <v>0.2</v>
      </c>
      <c r="AP28" s="264"/>
      <c r="AQ28" s="264"/>
      <c r="AR28" s="736"/>
      <c r="AS28" s="440"/>
      <c r="AT28" s="264"/>
      <c r="AU28" s="263"/>
      <c r="AV28" s="408">
        <f>Inputs_CPs!$F$13</f>
        <v>0.2</v>
      </c>
      <c r="AW28" s="408">
        <f>Inputs_CPs!$G$13</f>
        <v>0.2</v>
      </c>
      <c r="AX28" s="408">
        <f>Inputs_CPs!$H$13</f>
        <v>0.2</v>
      </c>
      <c r="AY28" s="408">
        <f>Inputs_CPs!$I$13</f>
        <v>0.2</v>
      </c>
      <c r="AZ28" s="408">
        <f>Inputs_CPs!$N$13</f>
        <v>0.2</v>
      </c>
      <c r="BA28" s="408">
        <f>Inputs_CPs!$O$13</f>
        <v>0.2</v>
      </c>
      <c r="BB28" s="408">
        <f>Inputs_CPs!$K$13</f>
        <v>0.2</v>
      </c>
      <c r="BC28" s="408">
        <f>Inputs_CPs!$L$13</f>
        <v>0.2</v>
      </c>
      <c r="BD28" s="408">
        <f>Inputs_CPs!$M$13</f>
        <v>0.2</v>
      </c>
      <c r="BE28" s="264"/>
      <c r="BF28" s="736"/>
      <c r="BG28" s="440"/>
      <c r="BH28" s="264"/>
      <c r="BI28" s="263"/>
      <c r="BJ28" s="408">
        <f>Inputs_CPs!$F$13</f>
        <v>0.2</v>
      </c>
      <c r="BK28" s="408">
        <f>Inputs_CPs!$G$13</f>
        <v>0.2</v>
      </c>
      <c r="BL28" s="408">
        <f>Inputs_CPs!$H$13</f>
        <v>0.2</v>
      </c>
      <c r="BM28" s="408">
        <f>Inputs_CPs!$I$13</f>
        <v>0.2</v>
      </c>
      <c r="BN28" s="408">
        <f>Inputs_CPs!$N$13</f>
        <v>0.2</v>
      </c>
      <c r="BO28" s="408">
        <f>Inputs_CPs!$O$13</f>
        <v>0.2</v>
      </c>
      <c r="BP28" s="408">
        <f>Inputs_CPs!$K$13</f>
        <v>0.2</v>
      </c>
      <c r="BQ28" s="408">
        <f>Inputs_CPs!$L$13</f>
        <v>0.2</v>
      </c>
      <c r="BR28" s="408">
        <f>Inputs_CPs!$M$13</f>
        <v>0.2</v>
      </c>
      <c r="BS28" s="263"/>
    </row>
    <row r="29" spans="1:71" ht="24" customHeight="1" x14ac:dyDescent="0.2">
      <c r="A29" s="312"/>
      <c r="B29" s="437"/>
      <c r="C29" s="171"/>
      <c r="D29" s="412" t="s">
        <v>109</v>
      </c>
      <c r="E29" s="438" t="s">
        <v>166</v>
      </c>
      <c r="F29" s="414" t="s">
        <v>51</v>
      </c>
      <c r="G29" s="413" t="s">
        <v>50</v>
      </c>
      <c r="H29" s="416" t="s">
        <v>117</v>
      </c>
      <c r="I29" s="736"/>
      <c r="J29" s="407"/>
      <c r="K29" s="408">
        <f>Inputs_Estimates!$E$28</f>
        <v>0.2</v>
      </c>
      <c r="L29" s="408">
        <f>Inputs_Estimates!$F$28</f>
        <v>0.2</v>
      </c>
      <c r="M29" s="439" t="s">
        <v>234</v>
      </c>
      <c r="N29" s="264"/>
      <c r="O29" s="736"/>
      <c r="P29" s="264"/>
      <c r="Q29" s="264"/>
      <c r="R29" s="264"/>
      <c r="S29" s="410">
        <f t="shared" ref="S29:Y29" si="36">(1+CAPEX_Factor)*((SUMIFS(S$102:S$266,$E$102:$E$266,$E29,$H$102:$H$266,$H29)*(1-$K29))+(SUMIFS(S$271:S$364,$E$271:$E$364,$E29,$H$271:$H$364,$H29)*(1-$L29)))</f>
        <v>0.16000000000000003</v>
      </c>
      <c r="T29" s="410">
        <f t="shared" si="36"/>
        <v>0.16000000000000003</v>
      </c>
      <c r="U29" s="410">
        <f t="shared" si="36"/>
        <v>0.16000000000000003</v>
      </c>
      <c r="V29" s="410">
        <f t="shared" si="36"/>
        <v>0.16000000000000003</v>
      </c>
      <c r="W29" s="410">
        <f t="shared" si="36"/>
        <v>0</v>
      </c>
      <c r="X29" s="410">
        <f t="shared" si="36"/>
        <v>0</v>
      </c>
      <c r="Y29" s="410">
        <f t="shared" si="36"/>
        <v>0.16000000000000003</v>
      </c>
      <c r="Z29" s="410">
        <f>(1+CAPEX_Factor)*((SUMIFS(Z$102:Z$266,$E$102:$E$266,$E29,$H$102:$H$266,$H29)*(1-$K29))+(SUMIFS(Z$271:Z$364,$E$271:$E$364,$E29,$H$271:$H$364,$H29)*(1-$L29)*TierA_TPI_BEefforts))</f>
        <v>0.16000000000000003</v>
      </c>
      <c r="AA29" s="410">
        <f>(1+CAPEX_Factor)*((SUMIFS(AA$102:AA$266,$E$102:$E$266,$E29,$H$102:$H$266,$H29)*(1-$K29))+(SUMIFS(AA$271:AA$364,$E$271:$E$364,$E29,$H$271:$H$364,$H29)*(1-$L29)*TierA_TPI_BEefforts))</f>
        <v>0</v>
      </c>
      <c r="AB29" s="264"/>
      <c r="AC29" s="736"/>
      <c r="AD29" s="411"/>
      <c r="AE29" s="264"/>
      <c r="AF29" s="263"/>
      <c r="AG29" s="410">
        <f t="shared" ref="AG29:AM29" si="37">(1+CAPEX_Factor)*((SUMIFS(AG$102:AG$266,$E$102:$E$266,$E29,$H$102:$H$266,$H29)*(1-$K29))+(SUMIFS(AG$271:AG$364,$E$271:$E$364,$E29,$H$271:$H$364,$H29)*(1-$L29)))</f>
        <v>0.16000000000000003</v>
      </c>
      <c r="AH29" s="410">
        <f t="shared" si="37"/>
        <v>0.16000000000000003</v>
      </c>
      <c r="AI29" s="410">
        <f t="shared" si="37"/>
        <v>0.16000000000000003</v>
      </c>
      <c r="AJ29" s="410">
        <f t="shared" si="37"/>
        <v>0.16000000000000003</v>
      </c>
      <c r="AK29" s="410">
        <f t="shared" si="37"/>
        <v>0</v>
      </c>
      <c r="AL29" s="410">
        <f t="shared" si="37"/>
        <v>0</v>
      </c>
      <c r="AM29" s="410">
        <f t="shared" si="37"/>
        <v>0.16000000000000003</v>
      </c>
      <c r="AN29" s="410">
        <f>(1+CAPEX_Factor)*((SUMIFS(AN$102:AN$266,$E$102:$E$266,$E29,$H$102:$H$266,$H29)*(1-$K29))+(SUMIFS(AN$271:AN$364,$E$271:$E$364,$E29,$H$271:$H$364,$H29)*(1-$L29)*TierA_TPI_BEefforts))</f>
        <v>0.16000000000000003</v>
      </c>
      <c r="AO29" s="410">
        <f>(1+CAPEX_Factor)*((SUMIFS(AO$102:AO$266,$E$102:$E$266,$E29,$H$102:$H$266,$H29)*(1-$K29))+(SUMIFS(AO$271:AO$364,$E$271:$E$364,$E29,$H$271:$H$364,$H29)*(1-$L29)*TierA_TPI_BEefforts))</f>
        <v>0</v>
      </c>
      <c r="AP29" s="264"/>
      <c r="AQ29" s="264"/>
      <c r="AR29" s="736"/>
      <c r="AS29" s="440"/>
      <c r="AT29" s="264"/>
      <c r="AU29" s="263"/>
      <c r="AV29" s="410">
        <f t="shared" ref="AV29:BB29" si="38">(1+CAPEX_Factor)*((SUMIFS(AV$102:AV$266,$E$102:$E$266,$E29,$H$102:$H$266,$H29)*(1-$K29))+(SUMIFS(AV$271:AV$364,$E$271:$E$364,$E29,$H$271:$H$364,$H29)*(1-$L29)))</f>
        <v>0.16000000000000003</v>
      </c>
      <c r="AW29" s="410">
        <f t="shared" si="38"/>
        <v>0.16000000000000003</v>
      </c>
      <c r="AX29" s="410">
        <f t="shared" si="38"/>
        <v>0.16000000000000003</v>
      </c>
      <c r="AY29" s="410">
        <f t="shared" si="38"/>
        <v>0.16000000000000003</v>
      </c>
      <c r="AZ29" s="410">
        <f t="shared" si="38"/>
        <v>0</v>
      </c>
      <c r="BA29" s="410">
        <f t="shared" si="38"/>
        <v>0</v>
      </c>
      <c r="BB29" s="410">
        <f t="shared" si="38"/>
        <v>0.16000000000000003</v>
      </c>
      <c r="BC29" s="410">
        <f>(1+CAPEX_Factor)*((SUMIFS(BC$102:BC$266,$E$102:$E$266,$E29,$H$102:$H$266,$H29)*(1-$K29))+(SUMIFS(BC$271:BC$364,$E$271:$E$364,$E29,$H$271:$H$364,$H29)*(1-$L29)*TierA_TPI_BEefforts))</f>
        <v>0.16000000000000003</v>
      </c>
      <c r="BD29" s="410">
        <f>(1+CAPEX_Factor)*((SUMIFS(BD$102:BD$266,$E$102:$E$266,$E29,$H$102:$H$266,$H29)*(1-$K29))+(SUMIFS(BD$271:BD$364,$E$271:$E$364,$E29,$H$271:$H$364,$H29)*(1-$L29)*TierA_TPI_BEefforts))</f>
        <v>0</v>
      </c>
      <c r="BE29" s="264"/>
      <c r="BF29" s="736"/>
      <c r="BG29" s="440"/>
      <c r="BH29" s="264"/>
      <c r="BI29" s="263"/>
      <c r="BJ29" s="410">
        <f t="shared" ref="BJ29:BP29" si="39">(1+CAPEX_Factor)*((SUMIFS(BJ$102:BJ$266,$E$102:$E$266,$E29,$H$102:$H$266,$H29)*(1-$K29))+(SUMIFS(BJ$271:BJ$364,$E$271:$E$364,$E29,$H$271:$H$364,$H29)*(1-$L29)))</f>
        <v>0.16000000000000003</v>
      </c>
      <c r="BK29" s="410">
        <f t="shared" si="39"/>
        <v>0.16000000000000003</v>
      </c>
      <c r="BL29" s="410">
        <f t="shared" si="39"/>
        <v>0.16000000000000003</v>
      </c>
      <c r="BM29" s="410">
        <f t="shared" si="39"/>
        <v>0.16000000000000003</v>
      </c>
      <c r="BN29" s="410">
        <f t="shared" si="39"/>
        <v>0</v>
      </c>
      <c r="BO29" s="410">
        <f t="shared" si="39"/>
        <v>0</v>
      </c>
      <c r="BP29" s="410">
        <f t="shared" si="39"/>
        <v>0.16000000000000003</v>
      </c>
      <c r="BQ29" s="410">
        <f>(1+CAPEX_Factor)*((SUMIFS(BQ$102:BQ$266,$E$102:$E$266,$E29,$H$102:$H$266,$H29)*(1-$K29))+(SUMIFS(BQ$271:BQ$364,$E$271:$E$364,$E29,$H$271:$H$364,$H29)*(1-$L29)*TierA_TPI_BEefforts))</f>
        <v>0.16000000000000003</v>
      </c>
      <c r="BR29" s="410">
        <f>(1+CAPEX_Factor)*((SUMIFS(BR$102:BR$266,$E$102:$E$266,$E29,$H$102:$H$266,$H29)*(1-$K29))+(SUMIFS(BR$271:BR$364,$E$271:$E$364,$E29,$H$271:$H$364,$H29)*(1-$L29)*TierA_TPI_BEefforts))</f>
        <v>0</v>
      </c>
      <c r="BS29" s="263"/>
    </row>
    <row r="30" spans="1:71" ht="24" customHeight="1" x14ac:dyDescent="0.2">
      <c r="A30" s="312"/>
      <c r="B30" s="437"/>
      <c r="C30" s="171"/>
      <c r="D30" s="412" t="s">
        <v>109</v>
      </c>
      <c r="E30" s="438" t="s">
        <v>166</v>
      </c>
      <c r="F30" s="414" t="s">
        <v>48</v>
      </c>
      <c r="G30" s="413" t="s">
        <v>50</v>
      </c>
      <c r="H30" s="416" t="s">
        <v>167</v>
      </c>
      <c r="I30" s="736"/>
      <c r="J30" s="407"/>
      <c r="K30" s="408" t="s">
        <v>58</v>
      </c>
      <c r="L30" s="408" t="s">
        <v>58</v>
      </c>
      <c r="M30" s="439"/>
      <c r="N30" s="264"/>
      <c r="O30" s="736"/>
      <c r="P30" s="264"/>
      <c r="Q30" s="264"/>
      <c r="R30" s="264"/>
      <c r="S30" s="418">
        <f>Inputs_CPs!$F$9</f>
        <v>0</v>
      </c>
      <c r="T30" s="418">
        <f>Inputs_CPs!$G$9</f>
        <v>0</v>
      </c>
      <c r="U30" s="418">
        <f>Inputs_CPs!$H$9</f>
        <v>0</v>
      </c>
      <c r="V30" s="418">
        <f>Inputs_CPs!$I$9</f>
        <v>0</v>
      </c>
      <c r="W30" s="418">
        <f>Inputs_CPs!$N$9</f>
        <v>0</v>
      </c>
      <c r="X30" s="418">
        <f>Inputs_CPs!$O$9</f>
        <v>0</v>
      </c>
      <c r="Y30" s="418">
        <f>Inputs_CPs!$K$9</f>
        <v>100</v>
      </c>
      <c r="Z30" s="418">
        <f>Inputs_CPs!$L$9</f>
        <v>5</v>
      </c>
      <c r="AA30" s="418">
        <f>Inputs_CPs!$M$9</f>
        <v>0</v>
      </c>
      <c r="AB30" s="264"/>
      <c r="AC30" s="736"/>
      <c r="AD30" s="411"/>
      <c r="AE30" s="264"/>
      <c r="AF30" s="263"/>
      <c r="AG30" s="418">
        <f>Inputs_CPs!$F$9</f>
        <v>0</v>
      </c>
      <c r="AH30" s="418">
        <f>Inputs_CPs!$G$9</f>
        <v>0</v>
      </c>
      <c r="AI30" s="418">
        <f>Inputs_CPs!$H$9</f>
        <v>0</v>
      </c>
      <c r="AJ30" s="418">
        <f>Inputs_CPs!$I$9</f>
        <v>0</v>
      </c>
      <c r="AK30" s="418">
        <f>Inputs_CPs!$N$9</f>
        <v>0</v>
      </c>
      <c r="AL30" s="418">
        <f>Inputs_CPs!$O$9</f>
        <v>0</v>
      </c>
      <c r="AM30" s="418">
        <f>Inputs_CPs!$K$9</f>
        <v>100</v>
      </c>
      <c r="AN30" s="418">
        <f>Inputs_CPs!$L$9</f>
        <v>5</v>
      </c>
      <c r="AO30" s="418">
        <f>Inputs_CPs!$M$9</f>
        <v>0</v>
      </c>
      <c r="AP30" s="264"/>
      <c r="AQ30" s="264"/>
      <c r="AR30" s="736"/>
      <c r="AS30" s="440"/>
      <c r="AT30" s="264"/>
      <c r="AU30" s="263"/>
      <c r="AV30" s="418">
        <f>Inputs_CPs!$F$9</f>
        <v>0</v>
      </c>
      <c r="AW30" s="418">
        <f>Inputs_CPs!$G$9</f>
        <v>0</v>
      </c>
      <c r="AX30" s="418">
        <f>Inputs_CPs!$H$9</f>
        <v>0</v>
      </c>
      <c r="AY30" s="418">
        <f>Inputs_CPs!$I$9</f>
        <v>0</v>
      </c>
      <c r="AZ30" s="418">
        <f>Inputs_CPs!$N$9</f>
        <v>0</v>
      </c>
      <c r="BA30" s="418">
        <f>Inputs_CPs!$O$9</f>
        <v>0</v>
      </c>
      <c r="BB30" s="418">
        <f>Inputs_CPs!$K$9</f>
        <v>100</v>
      </c>
      <c r="BC30" s="418">
        <f>Inputs_CPs!$L$9</f>
        <v>5</v>
      </c>
      <c r="BD30" s="418">
        <f>Inputs_CPs!$M$9</f>
        <v>0</v>
      </c>
      <c r="BE30" s="264"/>
      <c r="BF30" s="736"/>
      <c r="BG30" s="440"/>
      <c r="BH30" s="264"/>
      <c r="BI30" s="263"/>
      <c r="BJ30" s="418">
        <f>Inputs_CPs!$F$9</f>
        <v>0</v>
      </c>
      <c r="BK30" s="418">
        <f>Inputs_CPs!$G$9</f>
        <v>0</v>
      </c>
      <c r="BL30" s="418">
        <f>Inputs_CPs!$H$9</f>
        <v>0</v>
      </c>
      <c r="BM30" s="418">
        <f>Inputs_CPs!$I$9</f>
        <v>0</v>
      </c>
      <c r="BN30" s="418">
        <f>Inputs_CPs!$N$9</f>
        <v>0</v>
      </c>
      <c r="BO30" s="418">
        <f>Inputs_CPs!$O$9</f>
        <v>0</v>
      </c>
      <c r="BP30" s="418">
        <f>Inputs_CPs!$K$9</f>
        <v>100</v>
      </c>
      <c r="BQ30" s="418">
        <f>Inputs_CPs!$L$9</f>
        <v>5</v>
      </c>
      <c r="BR30" s="418">
        <f>Inputs_CPs!$M$9</f>
        <v>0</v>
      </c>
      <c r="BS30" s="263"/>
    </row>
    <row r="31" spans="1:71" ht="24" customHeight="1" x14ac:dyDescent="0.2">
      <c r="A31" s="312"/>
      <c r="B31" s="437"/>
      <c r="C31" s="171"/>
      <c r="D31" s="431" t="s">
        <v>109</v>
      </c>
      <c r="E31" s="441" t="s">
        <v>168</v>
      </c>
      <c r="F31" s="433" t="s">
        <v>51</v>
      </c>
      <c r="G31" s="426" t="s">
        <v>50</v>
      </c>
      <c r="H31" s="434" t="s">
        <v>214</v>
      </c>
      <c r="I31" s="737" t="s">
        <v>256</v>
      </c>
      <c r="J31" s="407"/>
      <c r="K31" s="408">
        <v>0</v>
      </c>
      <c r="L31" s="408">
        <v>0</v>
      </c>
      <c r="M31" s="442" t="s">
        <v>420</v>
      </c>
      <c r="N31" s="264"/>
      <c r="O31" s="737" t="s">
        <v>404</v>
      </c>
      <c r="P31" s="264"/>
      <c r="Q31" s="264"/>
      <c r="R31" s="264"/>
      <c r="S31" s="410">
        <f t="shared" ref="S31:Y31" si="40">(1+CAPEX_Factor)*((SUMIFS(S$102:S$266,$E$102:$E$266,$E31,$H$102:$H$266,$H31)*(1-$K31))+(SUMIFS(S$271:S$364,$E$271:$E$364,$E31,$H$271:$H$364,$H31)*(1-$L31)))</f>
        <v>3.3000000000000003</v>
      </c>
      <c r="T31" s="410">
        <f t="shared" si="40"/>
        <v>3.3000000000000003</v>
      </c>
      <c r="U31" s="410">
        <f t="shared" si="40"/>
        <v>3.3000000000000003</v>
      </c>
      <c r="V31" s="410">
        <f t="shared" si="40"/>
        <v>3.3000000000000003</v>
      </c>
      <c r="W31" s="410">
        <f t="shared" si="40"/>
        <v>0</v>
      </c>
      <c r="X31" s="410">
        <f t="shared" si="40"/>
        <v>0</v>
      </c>
      <c r="Y31" s="410">
        <f t="shared" si="40"/>
        <v>0</v>
      </c>
      <c r="Z31" s="410">
        <f>(1+CAPEX_Factor)*((SUMIFS(Z$102:Z$266,$E$102:$E$266,$E31,$H$102:$H$266,$H31)*(1-$K31))+(SUMIFS(Z$271:Z$364,$E$271:$E$364,$E31,$H$271:$H$364,$H31)*(1-$L31)*TierA_TPI_BEefforts))</f>
        <v>0</v>
      </c>
      <c r="AA31" s="410">
        <f>(1+CAPEX_Factor)*((SUMIFS(AA$102:AA$266,$E$102:$E$266,$E31,$H$102:$H$266,$H31)*(1-$K31))+(SUMIFS(AA$271:AA$364,$E$271:$E$364,$E31,$H$271:$H$364,$H31)*(1-$L31)*TierA_TPI_BEefforts))</f>
        <v>0</v>
      </c>
      <c r="AB31" s="264"/>
      <c r="AC31" s="737" t="s">
        <v>388</v>
      </c>
      <c r="AD31" s="411"/>
      <c r="AE31" s="264"/>
      <c r="AF31" s="263"/>
      <c r="AG31" s="410">
        <f t="shared" ref="AG31:AM31" si="41">(1+CAPEX_Factor)*((SUMIFS(AG$102:AG$266,$E$102:$E$266,$E31,$H$102:$H$266,$H31)*(1-$K31))+(SUMIFS(AG$271:AG$364,$E$271:$E$364,$E31,$H$271:$H$364,$H31)*(1-$L31)))</f>
        <v>3.3000000000000003</v>
      </c>
      <c r="AH31" s="410">
        <f t="shared" si="41"/>
        <v>3.3000000000000003</v>
      </c>
      <c r="AI31" s="410">
        <f t="shared" si="41"/>
        <v>3.3000000000000003</v>
      </c>
      <c r="AJ31" s="410">
        <f t="shared" si="41"/>
        <v>3.3000000000000003</v>
      </c>
      <c r="AK31" s="410">
        <f t="shared" si="41"/>
        <v>0</v>
      </c>
      <c r="AL31" s="410">
        <f t="shared" si="41"/>
        <v>0</v>
      </c>
      <c r="AM31" s="410">
        <f t="shared" si="41"/>
        <v>0</v>
      </c>
      <c r="AN31" s="410">
        <f>(1+CAPEX_Factor)*((SUMIFS(AN$102:AN$266,$E$102:$E$266,$E31,$H$102:$H$266,$H31)*(1-$K31))+(SUMIFS(AN$271:AN$364,$E$271:$E$364,$E31,$H$271:$H$364,$H31)*(1-$L31)*TierA_TPI_BEefforts))</f>
        <v>0</v>
      </c>
      <c r="AO31" s="410">
        <f>(1+CAPEX_Factor)*((SUMIFS(AO$102:AO$266,$E$102:$E$266,$E31,$H$102:$H$266,$H31)*(1-$K31))+(SUMIFS(AO$271:AO$364,$E$271:$E$364,$E31,$H$271:$H$364,$H31)*(1-$L31)*TierA_TPI_BEefforts))</f>
        <v>0</v>
      </c>
      <c r="AP31" s="264"/>
      <c r="AQ31" s="264"/>
      <c r="AR31" s="737" t="s">
        <v>406</v>
      </c>
      <c r="AS31" s="440"/>
      <c r="AT31" s="264"/>
      <c r="AU31" s="263"/>
      <c r="AV31" s="410">
        <f t="shared" ref="AV31:BB31" si="42">(1+CAPEX_Factor)*((SUMIFS(AV$102:AV$266,$E$102:$E$266,$E31,$H$102:$H$266,$H31)*(1-$K31))+(SUMIFS(AV$271:AV$364,$E$271:$E$364,$E31,$H$271:$H$364,$H31)*(1-$L31)))</f>
        <v>3.3000000000000003</v>
      </c>
      <c r="AW31" s="410">
        <f t="shared" si="42"/>
        <v>3.3000000000000003</v>
      </c>
      <c r="AX31" s="410">
        <f t="shared" si="42"/>
        <v>3.3000000000000003</v>
      </c>
      <c r="AY31" s="410">
        <f t="shared" si="42"/>
        <v>3.3000000000000003</v>
      </c>
      <c r="AZ31" s="410">
        <f t="shared" si="42"/>
        <v>0</v>
      </c>
      <c r="BA31" s="410">
        <f t="shared" si="42"/>
        <v>0</v>
      </c>
      <c r="BB31" s="410">
        <f t="shared" si="42"/>
        <v>1.6500000000000001</v>
      </c>
      <c r="BC31" s="410">
        <f>(1+CAPEX_Factor)*((SUMIFS(BC$102:BC$266,$E$102:$E$266,$E31,$H$102:$H$266,$H31)*(1-$K31))+(SUMIFS(BC$271:BC$364,$E$271:$E$364,$E31,$H$271:$H$364,$H31)*(1-$L31)*TierA_TPI_BEefforts))</f>
        <v>0</v>
      </c>
      <c r="BD31" s="410">
        <f>(1+CAPEX_Factor)*((SUMIFS(BD$102:BD$266,$E$102:$E$266,$E31,$H$102:$H$266,$H31)*(1-$K31))+(SUMIFS(BD$271:BD$364,$E$271:$E$364,$E31,$H$271:$H$364,$H31)*(1-$L31)*TierA_TPI_BEefforts))</f>
        <v>1.6500000000000001</v>
      </c>
      <c r="BE31" s="264"/>
      <c r="BF31" s="737" t="s">
        <v>406</v>
      </c>
      <c r="BG31" s="440"/>
      <c r="BH31" s="264"/>
      <c r="BI31" s="263"/>
      <c r="BJ31" s="410">
        <f t="shared" ref="BJ31:BP31" si="43">(1+CAPEX_Factor)*((SUMIFS(BJ$102:BJ$266,$E$102:$E$266,$E31,$H$102:$H$266,$H31)*(1-$K31))+(SUMIFS(BJ$271:BJ$364,$E$271:$E$364,$E31,$H$271:$H$364,$H31)*(1-$L31)))</f>
        <v>3.3000000000000003</v>
      </c>
      <c r="BK31" s="410">
        <f t="shared" si="43"/>
        <v>3.3000000000000003</v>
      </c>
      <c r="BL31" s="410">
        <f t="shared" si="43"/>
        <v>3.3000000000000003</v>
      </c>
      <c r="BM31" s="410">
        <f t="shared" si="43"/>
        <v>3.3000000000000003</v>
      </c>
      <c r="BN31" s="410">
        <f t="shared" si="43"/>
        <v>0</v>
      </c>
      <c r="BO31" s="410">
        <f t="shared" si="43"/>
        <v>0</v>
      </c>
      <c r="BP31" s="410">
        <f t="shared" si="43"/>
        <v>1.6500000000000001</v>
      </c>
      <c r="BQ31" s="410">
        <f>(1+CAPEX_Factor)*((SUMIFS(BQ$102:BQ$266,$E$102:$E$266,$E31,$H$102:$H$266,$H31)*(1-$K31))+(SUMIFS(BQ$271:BQ$364,$E$271:$E$364,$E31,$H$271:$H$364,$H31)*(1-$L31)*TierA_TPI_BEefforts))</f>
        <v>0</v>
      </c>
      <c r="BR31" s="410">
        <f>(1+CAPEX_Factor)*((SUMIFS(BR$102:BR$266,$E$102:$E$266,$E31,$H$102:$H$266,$H31)*(1-$K31))+(SUMIFS(BR$271:BR$364,$E$271:$E$364,$E31,$H$271:$H$364,$H31)*(1-$L31)*TierA_TPI_BEefforts))</f>
        <v>1.6500000000000001</v>
      </c>
      <c r="BS31" s="263"/>
    </row>
    <row r="32" spans="1:71" ht="24" customHeight="1" x14ac:dyDescent="0.2">
      <c r="A32" s="312"/>
      <c r="B32" s="437"/>
      <c r="C32" s="171"/>
      <c r="D32" s="431" t="s">
        <v>109</v>
      </c>
      <c r="E32" s="441" t="s">
        <v>168</v>
      </c>
      <c r="F32" s="433" t="s">
        <v>49</v>
      </c>
      <c r="G32" s="426" t="s">
        <v>47</v>
      </c>
      <c r="H32" s="434" t="s">
        <v>118</v>
      </c>
      <c r="I32" s="737"/>
      <c r="J32" s="407"/>
      <c r="K32" s="408" t="s">
        <v>58</v>
      </c>
      <c r="L32" s="408" t="s">
        <v>58</v>
      </c>
      <c r="M32" s="425"/>
      <c r="N32" s="264"/>
      <c r="O32" s="737"/>
      <c r="P32" s="264"/>
      <c r="Q32" s="264"/>
      <c r="R32" s="264"/>
      <c r="S32" s="408">
        <f>Inputs_CPs!$F$13</f>
        <v>0.2</v>
      </c>
      <c r="T32" s="408">
        <f>Inputs_CPs!$G$13</f>
        <v>0.2</v>
      </c>
      <c r="U32" s="408">
        <f>Inputs_CPs!$H$13</f>
        <v>0.2</v>
      </c>
      <c r="V32" s="408">
        <f>Inputs_CPs!$I$13</f>
        <v>0.2</v>
      </c>
      <c r="W32" s="408">
        <f>Inputs_CPs!$N$13</f>
        <v>0.2</v>
      </c>
      <c r="X32" s="408">
        <f>Inputs_CPs!$O$13</f>
        <v>0.2</v>
      </c>
      <c r="Y32" s="408">
        <f>Inputs_CPs!$K$13</f>
        <v>0.2</v>
      </c>
      <c r="Z32" s="408">
        <f>Inputs_CPs!$L$13</f>
        <v>0.2</v>
      </c>
      <c r="AA32" s="408">
        <f>Inputs_CPs!$M$13</f>
        <v>0.2</v>
      </c>
      <c r="AB32" s="264"/>
      <c r="AC32" s="737"/>
      <c r="AD32" s="411"/>
      <c r="AE32" s="264"/>
      <c r="AF32" s="263"/>
      <c r="AG32" s="408">
        <f>Inputs_CPs!$F$13</f>
        <v>0.2</v>
      </c>
      <c r="AH32" s="408">
        <f>Inputs_CPs!$G$13</f>
        <v>0.2</v>
      </c>
      <c r="AI32" s="408">
        <f>Inputs_CPs!$H$13</f>
        <v>0.2</v>
      </c>
      <c r="AJ32" s="408">
        <f>Inputs_CPs!$I$13</f>
        <v>0.2</v>
      </c>
      <c r="AK32" s="408">
        <f>Inputs_CPs!$N$13</f>
        <v>0.2</v>
      </c>
      <c r="AL32" s="408">
        <f>Inputs_CPs!$O$13</f>
        <v>0.2</v>
      </c>
      <c r="AM32" s="408">
        <f>Inputs_CPs!$K$13</f>
        <v>0.2</v>
      </c>
      <c r="AN32" s="408">
        <f>Inputs_CPs!$L$13</f>
        <v>0.2</v>
      </c>
      <c r="AO32" s="408">
        <f>Inputs_CPs!$M$13</f>
        <v>0.2</v>
      </c>
      <c r="AP32" s="264"/>
      <c r="AQ32" s="264"/>
      <c r="AR32" s="737"/>
      <c r="AS32" s="440"/>
      <c r="AT32" s="264"/>
      <c r="AU32" s="263"/>
      <c r="AV32" s="408">
        <f>Inputs_CPs!$F$13</f>
        <v>0.2</v>
      </c>
      <c r="AW32" s="408">
        <f>Inputs_CPs!$G$13</f>
        <v>0.2</v>
      </c>
      <c r="AX32" s="408">
        <f>Inputs_CPs!$H$13</f>
        <v>0.2</v>
      </c>
      <c r="AY32" s="408">
        <f>Inputs_CPs!$I$13</f>
        <v>0.2</v>
      </c>
      <c r="AZ32" s="408">
        <f>Inputs_CPs!$N$13</f>
        <v>0.2</v>
      </c>
      <c r="BA32" s="408">
        <f>Inputs_CPs!$O$13</f>
        <v>0.2</v>
      </c>
      <c r="BB32" s="408">
        <f>Inputs_CPs!$K$13</f>
        <v>0.2</v>
      </c>
      <c r="BC32" s="408">
        <f>Inputs_CPs!$L$13</f>
        <v>0.2</v>
      </c>
      <c r="BD32" s="408">
        <f>Inputs_CPs!$M$13</f>
        <v>0.2</v>
      </c>
      <c r="BE32" s="264"/>
      <c r="BF32" s="737"/>
      <c r="BG32" s="440"/>
      <c r="BH32" s="264"/>
      <c r="BI32" s="263"/>
      <c r="BJ32" s="408">
        <f>Inputs_CPs!$F$13</f>
        <v>0.2</v>
      </c>
      <c r="BK32" s="408">
        <f>Inputs_CPs!$G$13</f>
        <v>0.2</v>
      </c>
      <c r="BL32" s="408">
        <f>Inputs_CPs!$H$13</f>
        <v>0.2</v>
      </c>
      <c r="BM32" s="408">
        <f>Inputs_CPs!$I$13</f>
        <v>0.2</v>
      </c>
      <c r="BN32" s="408">
        <f>Inputs_CPs!$N$13</f>
        <v>0.2</v>
      </c>
      <c r="BO32" s="408">
        <f>Inputs_CPs!$O$13</f>
        <v>0.2</v>
      </c>
      <c r="BP32" s="408">
        <f>Inputs_CPs!$K$13</f>
        <v>0.2</v>
      </c>
      <c r="BQ32" s="408">
        <f>Inputs_CPs!$L$13</f>
        <v>0.2</v>
      </c>
      <c r="BR32" s="408">
        <f>Inputs_CPs!$M$13</f>
        <v>0.2</v>
      </c>
      <c r="BS32" s="263"/>
    </row>
    <row r="33" spans="1:71" ht="24" customHeight="1" x14ac:dyDescent="0.2">
      <c r="A33" s="312"/>
      <c r="B33" s="437"/>
      <c r="C33" s="171"/>
      <c r="D33" s="431" t="s">
        <v>109</v>
      </c>
      <c r="E33" s="441" t="s">
        <v>168</v>
      </c>
      <c r="F33" s="433" t="s">
        <v>51</v>
      </c>
      <c r="G33" s="426" t="s">
        <v>50</v>
      </c>
      <c r="H33" s="434" t="s">
        <v>117</v>
      </c>
      <c r="I33" s="737"/>
      <c r="J33" s="407"/>
      <c r="K33" s="408">
        <v>0</v>
      </c>
      <c r="L33" s="408">
        <v>0</v>
      </c>
      <c r="M33" s="442" t="s">
        <v>420</v>
      </c>
      <c r="N33" s="264"/>
      <c r="O33" s="737"/>
      <c r="P33" s="264"/>
      <c r="Q33" s="264"/>
      <c r="R33" s="264"/>
      <c r="S33" s="410">
        <f t="shared" ref="S33:Y33" si="44">(1+CAPEX_Factor)*((SUMIFS(S$102:S$266,$E$102:$E$266,$E33,$H$102:$H$266,$H33)*(1-$K33))+(SUMIFS(S$271:S$364,$E$271:$E$364,$E33,$H$271:$H$364,$H33)*(1-$L33)))</f>
        <v>0.2</v>
      </c>
      <c r="T33" s="410">
        <f t="shared" si="44"/>
        <v>0.2</v>
      </c>
      <c r="U33" s="410">
        <f t="shared" si="44"/>
        <v>0.2</v>
      </c>
      <c r="V33" s="410">
        <f t="shared" si="44"/>
        <v>0.2</v>
      </c>
      <c r="W33" s="410">
        <f t="shared" si="44"/>
        <v>0</v>
      </c>
      <c r="X33" s="410">
        <f t="shared" si="44"/>
        <v>0</v>
      </c>
      <c r="Y33" s="410">
        <f t="shared" si="44"/>
        <v>0.2</v>
      </c>
      <c r="Z33" s="410">
        <f>(1+CAPEX_Factor)*((SUMIFS(Z$102:Z$266,$E$102:$E$266,$E33,$H$102:$H$266,$H33)*(1-$K33))+(SUMIFS(Z$271:Z$364,$E$271:$E$364,$E33,$H$271:$H$364,$H33)*(1-$L33)*TierA_TPI_BEefforts))</f>
        <v>0.2</v>
      </c>
      <c r="AA33" s="410">
        <f>(1+CAPEX_Factor)*((SUMIFS(AA$102:AA$266,$E$102:$E$266,$E33,$H$102:$H$266,$H33)*(1-$K33))+(SUMIFS(AA$271:AA$364,$E$271:$E$364,$E33,$H$271:$H$364,$H33)*(1-$L33)*TierA_TPI_BEefforts))</f>
        <v>0</v>
      </c>
      <c r="AB33" s="264"/>
      <c r="AC33" s="737"/>
      <c r="AD33" s="411"/>
      <c r="AE33" s="264"/>
      <c r="AF33" s="263"/>
      <c r="AG33" s="410">
        <f t="shared" ref="AG33:AM33" si="45">(1+CAPEX_Factor)*((SUMIFS(AG$102:AG$266,$E$102:$E$266,$E33,$H$102:$H$266,$H33)*(1-$K33))+(SUMIFS(AG$271:AG$364,$E$271:$E$364,$E33,$H$271:$H$364,$H33)*(1-$L33)))</f>
        <v>0.2</v>
      </c>
      <c r="AH33" s="410">
        <f t="shared" si="45"/>
        <v>0.2</v>
      </c>
      <c r="AI33" s="410">
        <f t="shared" si="45"/>
        <v>0.2</v>
      </c>
      <c r="AJ33" s="410">
        <f t="shared" si="45"/>
        <v>0.2</v>
      </c>
      <c r="AK33" s="410">
        <f t="shared" si="45"/>
        <v>0</v>
      </c>
      <c r="AL33" s="410">
        <f t="shared" si="45"/>
        <v>0</v>
      </c>
      <c r="AM33" s="410">
        <f t="shared" si="45"/>
        <v>0.2</v>
      </c>
      <c r="AN33" s="410">
        <f>(1+CAPEX_Factor)*((SUMIFS(AN$102:AN$266,$E$102:$E$266,$E33,$H$102:$H$266,$H33)*(1-$K33))+(SUMIFS(AN$271:AN$364,$E$271:$E$364,$E33,$H$271:$H$364,$H33)*(1-$L33)*TierA_TPI_BEefforts))</f>
        <v>0.2</v>
      </c>
      <c r="AO33" s="410">
        <f>(1+CAPEX_Factor)*((SUMIFS(AO$102:AO$266,$E$102:$E$266,$E33,$H$102:$H$266,$H33)*(1-$K33))+(SUMIFS(AO$271:AO$364,$E$271:$E$364,$E33,$H$271:$H$364,$H33)*(1-$L33)*TierA_TPI_BEefforts))</f>
        <v>0</v>
      </c>
      <c r="AP33" s="264"/>
      <c r="AQ33" s="264"/>
      <c r="AR33" s="737"/>
      <c r="AS33" s="440"/>
      <c r="AT33" s="264"/>
      <c r="AU33" s="263"/>
      <c r="AV33" s="410">
        <f t="shared" ref="AV33:BB33" si="46">(1+CAPEX_Factor)*((SUMIFS(AV$102:AV$266,$E$102:$E$266,$E33,$H$102:$H$266,$H33)*(1-$K33))+(SUMIFS(AV$271:AV$364,$E$271:$E$364,$E33,$H$271:$H$364,$H33)*(1-$L33)))</f>
        <v>0.2</v>
      </c>
      <c r="AW33" s="410">
        <f t="shared" si="46"/>
        <v>0.2</v>
      </c>
      <c r="AX33" s="410">
        <f t="shared" si="46"/>
        <v>0.2</v>
      </c>
      <c r="AY33" s="410">
        <f t="shared" si="46"/>
        <v>0.2</v>
      </c>
      <c r="AZ33" s="410">
        <f t="shared" si="46"/>
        <v>0</v>
      </c>
      <c r="BA33" s="410">
        <f t="shared" si="46"/>
        <v>0</v>
      </c>
      <c r="BB33" s="410">
        <f t="shared" si="46"/>
        <v>0.2</v>
      </c>
      <c r="BC33" s="410">
        <f>(1+CAPEX_Factor)*((SUMIFS(BC$102:BC$266,$E$102:$E$266,$E33,$H$102:$H$266,$H33)*(1-$K33))+(SUMIFS(BC$271:BC$364,$E$271:$E$364,$E33,$H$271:$H$364,$H33)*(1-$L33)*TierA_TPI_BEefforts))</f>
        <v>0.2</v>
      </c>
      <c r="BD33" s="410">
        <f>(1+CAPEX_Factor)*((SUMIFS(BD$102:BD$266,$E$102:$E$266,$E33,$H$102:$H$266,$H33)*(1-$K33))+(SUMIFS(BD$271:BD$364,$E$271:$E$364,$E33,$H$271:$H$364,$H33)*(1-$L33)*TierA_TPI_BEefforts))</f>
        <v>0</v>
      </c>
      <c r="BE33" s="264"/>
      <c r="BF33" s="737"/>
      <c r="BG33" s="440"/>
      <c r="BH33" s="264"/>
      <c r="BI33" s="263"/>
      <c r="BJ33" s="410">
        <f t="shared" ref="BJ33:BP33" si="47">(1+CAPEX_Factor)*((SUMIFS(BJ$102:BJ$266,$E$102:$E$266,$E33,$H$102:$H$266,$H33)*(1-$K33))+(SUMIFS(BJ$271:BJ$364,$E$271:$E$364,$E33,$H$271:$H$364,$H33)*(1-$L33)))</f>
        <v>0.2</v>
      </c>
      <c r="BK33" s="410">
        <f t="shared" si="47"/>
        <v>0.2</v>
      </c>
      <c r="BL33" s="410">
        <f t="shared" si="47"/>
        <v>0.2</v>
      </c>
      <c r="BM33" s="410">
        <f t="shared" si="47"/>
        <v>0.2</v>
      </c>
      <c r="BN33" s="410">
        <f t="shared" si="47"/>
        <v>0</v>
      </c>
      <c r="BO33" s="410">
        <f t="shared" si="47"/>
        <v>0</v>
      </c>
      <c r="BP33" s="410">
        <f t="shared" si="47"/>
        <v>0.2</v>
      </c>
      <c r="BQ33" s="410">
        <f>(1+CAPEX_Factor)*((SUMIFS(BQ$102:BQ$266,$E$102:$E$266,$E33,$H$102:$H$266,$H33)*(1-$K33))+(SUMIFS(BQ$271:BQ$364,$E$271:$E$364,$E33,$H$271:$H$364,$H33)*(1-$L33)*TierA_TPI_BEefforts))</f>
        <v>0.2</v>
      </c>
      <c r="BR33" s="410">
        <f>(1+CAPEX_Factor)*((SUMIFS(BR$102:BR$266,$E$102:$E$266,$E33,$H$102:$H$266,$H33)*(1-$K33))+(SUMIFS(BR$271:BR$364,$E$271:$E$364,$E33,$H$271:$H$364,$H33)*(1-$L33)*TierA_TPI_BEefforts))</f>
        <v>0</v>
      </c>
      <c r="BS33" s="263"/>
    </row>
    <row r="34" spans="1:71" ht="24" customHeight="1" thickBot="1" x14ac:dyDescent="0.25">
      <c r="A34" s="312"/>
      <c r="B34" s="437"/>
      <c r="C34" s="171"/>
      <c r="D34" s="443" t="s">
        <v>109</v>
      </c>
      <c r="E34" s="444" t="s">
        <v>168</v>
      </c>
      <c r="F34" s="445" t="s">
        <v>48</v>
      </c>
      <c r="G34" s="446" t="s">
        <v>50</v>
      </c>
      <c r="H34" s="447" t="s">
        <v>182</v>
      </c>
      <c r="I34" s="737"/>
      <c r="J34" s="407"/>
      <c r="K34" s="408" t="s">
        <v>58</v>
      </c>
      <c r="L34" s="408" t="s">
        <v>58</v>
      </c>
      <c r="M34" s="425"/>
      <c r="N34" s="264"/>
      <c r="O34" s="737"/>
      <c r="P34" s="264"/>
      <c r="Q34" s="264"/>
      <c r="R34" s="264"/>
      <c r="S34" s="418">
        <f>Inputs_CPs!$F$9</f>
        <v>0</v>
      </c>
      <c r="T34" s="418">
        <f>Inputs_CPs!$G$9</f>
        <v>0</v>
      </c>
      <c r="U34" s="418">
        <f>Inputs_CPs!$H$9</f>
        <v>0</v>
      </c>
      <c r="V34" s="418">
        <f>Inputs_CPs!$I$9</f>
        <v>0</v>
      </c>
      <c r="W34" s="418">
        <f>Inputs_CPs!$N$9</f>
        <v>0</v>
      </c>
      <c r="X34" s="418">
        <f>Inputs_CPs!$O$9</f>
        <v>0</v>
      </c>
      <c r="Y34" s="418">
        <f>Inputs_CPs!$K$9</f>
        <v>100</v>
      </c>
      <c r="Z34" s="418">
        <f>Inputs_CPs!$L$9</f>
        <v>5</v>
      </c>
      <c r="AA34" s="418">
        <f>Inputs_CPs!$M$9</f>
        <v>0</v>
      </c>
      <c r="AB34" s="264"/>
      <c r="AC34" s="737"/>
      <c r="AD34" s="411"/>
      <c r="AE34" s="264"/>
      <c r="AF34" s="263"/>
      <c r="AG34" s="418">
        <f>Inputs_CPs!$F$9</f>
        <v>0</v>
      </c>
      <c r="AH34" s="418">
        <f>Inputs_CPs!$G$9</f>
        <v>0</v>
      </c>
      <c r="AI34" s="418">
        <f>Inputs_CPs!$H$9</f>
        <v>0</v>
      </c>
      <c r="AJ34" s="418">
        <f>Inputs_CPs!$I$9</f>
        <v>0</v>
      </c>
      <c r="AK34" s="418">
        <f>Inputs_CPs!$N$9</f>
        <v>0</v>
      </c>
      <c r="AL34" s="418">
        <f>Inputs_CPs!$O$9</f>
        <v>0</v>
      </c>
      <c r="AM34" s="418">
        <f>Inputs_CPs!$K$9</f>
        <v>100</v>
      </c>
      <c r="AN34" s="418">
        <f>Inputs_CPs!$L$9</f>
        <v>5</v>
      </c>
      <c r="AO34" s="418">
        <f>Inputs_CPs!$M$9</f>
        <v>0</v>
      </c>
      <c r="AP34" s="264"/>
      <c r="AQ34" s="264"/>
      <c r="AR34" s="737"/>
      <c r="AS34" s="440"/>
      <c r="AT34" s="264"/>
      <c r="AU34" s="263"/>
      <c r="AV34" s="418">
        <f>Inputs_CPs!$F$9</f>
        <v>0</v>
      </c>
      <c r="AW34" s="418">
        <f>Inputs_CPs!$G$9</f>
        <v>0</v>
      </c>
      <c r="AX34" s="418">
        <f>Inputs_CPs!$H$9</f>
        <v>0</v>
      </c>
      <c r="AY34" s="418">
        <f>Inputs_CPs!$I$9</f>
        <v>0</v>
      </c>
      <c r="AZ34" s="418">
        <f>Inputs_CPs!$N$9</f>
        <v>0</v>
      </c>
      <c r="BA34" s="418">
        <f>Inputs_CPs!$O$9</f>
        <v>0</v>
      </c>
      <c r="BB34" s="418">
        <f>Inputs_CPs!$K$9</f>
        <v>100</v>
      </c>
      <c r="BC34" s="418">
        <f>Inputs_CPs!$L$9</f>
        <v>5</v>
      </c>
      <c r="BD34" s="418">
        <f>Inputs_CPs!$M$9</f>
        <v>0</v>
      </c>
      <c r="BE34" s="264"/>
      <c r="BF34" s="737"/>
      <c r="BG34" s="440"/>
      <c r="BH34" s="264"/>
      <c r="BI34" s="263"/>
      <c r="BJ34" s="418">
        <f>Inputs_CPs!$F$9</f>
        <v>0</v>
      </c>
      <c r="BK34" s="418">
        <f>Inputs_CPs!$G$9</f>
        <v>0</v>
      </c>
      <c r="BL34" s="418">
        <f>Inputs_CPs!$H$9</f>
        <v>0</v>
      </c>
      <c r="BM34" s="418">
        <f>Inputs_CPs!$I$9</f>
        <v>0</v>
      </c>
      <c r="BN34" s="418">
        <f>Inputs_CPs!$N$9</f>
        <v>0</v>
      </c>
      <c r="BO34" s="418">
        <f>Inputs_CPs!$O$9</f>
        <v>0</v>
      </c>
      <c r="BP34" s="418">
        <f>Inputs_CPs!$K$9</f>
        <v>100</v>
      </c>
      <c r="BQ34" s="418">
        <f>Inputs_CPs!$L$9</f>
        <v>5</v>
      </c>
      <c r="BR34" s="418">
        <f>Inputs_CPs!$M$9</f>
        <v>0</v>
      </c>
      <c r="BS34" s="263"/>
    </row>
    <row r="35" spans="1:71" ht="24" customHeight="1" x14ac:dyDescent="0.2">
      <c r="A35" s="312"/>
      <c r="B35" s="401"/>
      <c r="C35" s="157"/>
      <c r="D35" s="448" t="s">
        <v>111</v>
      </c>
      <c r="E35" s="449" t="s">
        <v>140</v>
      </c>
      <c r="F35" s="450" t="s">
        <v>61</v>
      </c>
      <c r="G35" s="451" t="s">
        <v>50</v>
      </c>
      <c r="H35" s="452" t="s">
        <v>152</v>
      </c>
      <c r="I35" s="739" t="s">
        <v>241</v>
      </c>
      <c r="J35" s="453"/>
      <c r="K35" s="408">
        <f>Inputs_Estimates!$E$29</f>
        <v>0.2</v>
      </c>
      <c r="L35" s="408">
        <v>0</v>
      </c>
      <c r="M35" s="439" t="s">
        <v>234</v>
      </c>
      <c r="N35" s="264"/>
      <c r="O35" s="734" t="s">
        <v>389</v>
      </c>
      <c r="P35" s="264"/>
      <c r="Q35" s="264"/>
      <c r="R35" s="264"/>
      <c r="S35" s="410">
        <f t="shared" ref="S35:Y36" si="48">(1+CAPEX_Factor)*((SUMIFS(S$102:S$266,$E$102:$E$266,$E35,$H$102:$H$266,$H35)*(1-$K35))+(SUMIFS(S$271:S$364,$E$271:$E$364,$E35,$H$271:$H$364,$H35)*(1-$L35)))</f>
        <v>6.6000000000000005</v>
      </c>
      <c r="T35" s="410">
        <f t="shared" si="48"/>
        <v>17.160000000000004</v>
      </c>
      <c r="U35" s="410">
        <f t="shared" si="48"/>
        <v>6.6000000000000005</v>
      </c>
      <c r="V35" s="410">
        <f t="shared" si="48"/>
        <v>6.6000000000000005</v>
      </c>
      <c r="W35" s="410">
        <f t="shared" si="48"/>
        <v>0</v>
      </c>
      <c r="X35" s="410">
        <f t="shared" si="48"/>
        <v>0</v>
      </c>
      <c r="Y35" s="410">
        <f t="shared" si="48"/>
        <v>3.3000000000000003</v>
      </c>
      <c r="Z35" s="410">
        <f>(1+CAPEX_Factor)*((SUMIFS(Z$102:Z$266,$E$102:$E$266,$E35,$H$102:$H$266,$H35)*(1-$K35))+(SUMIFS(Z$271:Z$364,$E$271:$E$364,$E35,$H$271:$H$364,$H35)*(1-$L35)*TierA_TPI_BEefforts))</f>
        <v>0</v>
      </c>
      <c r="AA35" s="410">
        <f>(1+CAPEX_Factor)*((SUMIFS(AA$102:AA$266,$E$102:$E$266,$E35,$H$102:$H$266,$H35)*(1-$K35))+(SUMIFS(AA$271:AA$364,$E$271:$E$364,$E35,$H$271:$H$364,$H35)*(1-$L35)*TierA_TPI_BEefforts))</f>
        <v>3.3000000000000003</v>
      </c>
      <c r="AB35" s="264"/>
      <c r="AC35" s="734" t="s">
        <v>389</v>
      </c>
      <c r="AD35" s="454"/>
      <c r="AE35" s="264"/>
      <c r="AF35" s="263"/>
      <c r="AG35" s="410">
        <f t="shared" ref="AG35:AM36" si="49">(1+CAPEX_Factor)*((SUMIFS(AG$102:AG$266,$E$102:$E$266,$E35,$H$102:$H$266,$H35)*(1-$K35))+(SUMIFS(AG$271:AG$364,$E$271:$E$364,$E35,$H$271:$H$364,$H35)*(1-$L35)))</f>
        <v>6.6000000000000005</v>
      </c>
      <c r="AH35" s="410">
        <f t="shared" si="49"/>
        <v>17.160000000000004</v>
      </c>
      <c r="AI35" s="410">
        <f t="shared" si="49"/>
        <v>6.6000000000000005</v>
      </c>
      <c r="AJ35" s="410">
        <f t="shared" si="49"/>
        <v>6.6000000000000005</v>
      </c>
      <c r="AK35" s="410">
        <f t="shared" si="49"/>
        <v>0</v>
      </c>
      <c r="AL35" s="410">
        <f t="shared" si="49"/>
        <v>0</v>
      </c>
      <c r="AM35" s="410">
        <f t="shared" si="49"/>
        <v>3.3000000000000003</v>
      </c>
      <c r="AN35" s="410">
        <f>(1+CAPEX_Factor)*((SUMIFS(AN$102:AN$266,$E$102:$E$266,$E35,$H$102:$H$266,$H35)*(1-$K35))+(SUMIFS(AN$271:AN$364,$E$271:$E$364,$E35,$H$271:$H$364,$H35)*(1-$L35)*TierA_TPI_BEefforts))</f>
        <v>0</v>
      </c>
      <c r="AO35" s="410">
        <f>(1+CAPEX_Factor)*((SUMIFS(AO$102:AO$266,$E$102:$E$266,$E35,$H$102:$H$266,$H35)*(1-$K35))+(SUMIFS(AO$271:AO$364,$E$271:$E$364,$E35,$H$271:$H$364,$H35)*(1-$L35)*TierA_TPI_BEefforts))</f>
        <v>3.3000000000000003</v>
      </c>
      <c r="AP35" s="264"/>
      <c r="AQ35" s="264"/>
      <c r="AR35" s="734" t="s">
        <v>389</v>
      </c>
      <c r="AS35" s="454"/>
      <c r="AT35" s="264"/>
      <c r="AU35" s="263"/>
      <c r="AV35" s="410">
        <f t="shared" ref="AV35:BB36" si="50">(1+CAPEX_Factor)*((SUMIFS(AV$102:AV$266,$E$102:$E$266,$E35,$H$102:$H$266,$H35)*(1-$K35))+(SUMIFS(AV$271:AV$364,$E$271:$E$364,$E35,$H$271:$H$364,$H35)*(1-$L35)))</f>
        <v>6.6000000000000005</v>
      </c>
      <c r="AW35" s="410">
        <f t="shared" si="50"/>
        <v>17.160000000000004</v>
      </c>
      <c r="AX35" s="410">
        <f t="shared" si="50"/>
        <v>6.6000000000000005</v>
      </c>
      <c r="AY35" s="410">
        <f t="shared" si="50"/>
        <v>6.6000000000000005</v>
      </c>
      <c r="AZ35" s="410">
        <f t="shared" si="50"/>
        <v>0</v>
      </c>
      <c r="BA35" s="410">
        <f t="shared" si="50"/>
        <v>0</v>
      </c>
      <c r="BB35" s="410">
        <f t="shared" si="50"/>
        <v>3.3000000000000003</v>
      </c>
      <c r="BC35" s="410">
        <f>(1+CAPEX_Factor)*((SUMIFS(BC$102:BC$266,$E$102:$E$266,$E35,$H$102:$H$266,$H35)*(1-$K35))+(SUMIFS(BC$271:BC$364,$E$271:$E$364,$E35,$H$271:$H$364,$H35)*(1-$L35)*TierA_TPI_BEefforts))</f>
        <v>0</v>
      </c>
      <c r="BD35" s="410">
        <f>(1+CAPEX_Factor)*((SUMIFS(BD$102:BD$266,$E$102:$E$266,$E35,$H$102:$H$266,$H35)*(1-$K35))+(SUMIFS(BD$271:BD$364,$E$271:$E$364,$E35,$H$271:$H$364,$H35)*(1-$L35)*TierA_TPI_BEefforts))</f>
        <v>3.3000000000000003</v>
      </c>
      <c r="BE35" s="264"/>
      <c r="BF35" s="734" t="s">
        <v>389</v>
      </c>
      <c r="BG35" s="454"/>
      <c r="BH35" s="264"/>
      <c r="BI35" s="263"/>
      <c r="BJ35" s="410">
        <f t="shared" ref="BJ35:BP36" si="51">(1+CAPEX_Factor)*((SUMIFS(BJ$102:BJ$266,$E$102:$E$266,$E35,$H$102:$H$266,$H35)*(1-$K35))+(SUMIFS(BJ$271:BJ$364,$E$271:$E$364,$E35,$H$271:$H$364,$H35)*(1-$L35)))</f>
        <v>6.6000000000000005</v>
      </c>
      <c r="BK35" s="410">
        <f t="shared" si="51"/>
        <v>17.160000000000004</v>
      </c>
      <c r="BL35" s="410">
        <f t="shared" si="51"/>
        <v>6.6000000000000005</v>
      </c>
      <c r="BM35" s="410">
        <f t="shared" si="51"/>
        <v>6.6000000000000005</v>
      </c>
      <c r="BN35" s="410">
        <f t="shared" si="51"/>
        <v>0</v>
      </c>
      <c r="BO35" s="410">
        <f t="shared" si="51"/>
        <v>0</v>
      </c>
      <c r="BP35" s="410">
        <f t="shared" si="51"/>
        <v>3.3000000000000003</v>
      </c>
      <c r="BQ35" s="410">
        <f>(1+CAPEX_Factor)*((SUMIFS(BQ$102:BQ$266,$E$102:$E$266,$E35,$H$102:$H$266,$H35)*(1-$K35))+(SUMIFS(BQ$271:BQ$364,$E$271:$E$364,$E35,$H$271:$H$364,$H35)*(1-$L35)*TierA_TPI_BEefforts))</f>
        <v>0</v>
      </c>
      <c r="BR35" s="410">
        <f>(1+CAPEX_Factor)*((SUMIFS(BR$102:BR$266,$E$102:$E$266,$E35,$H$102:$H$266,$H35)*(1-$K35))+(SUMIFS(BR$271:BR$364,$E$271:$E$364,$E35,$H$271:$H$364,$H35)*(1-$L35)*TierA_TPI_BEefforts))</f>
        <v>3.3000000000000003</v>
      </c>
      <c r="BS35" s="263"/>
    </row>
    <row r="36" spans="1:71" ht="24" customHeight="1" x14ac:dyDescent="0.2">
      <c r="A36" s="312"/>
      <c r="B36" s="401"/>
      <c r="C36" s="157"/>
      <c r="D36" s="455" t="s">
        <v>111</v>
      </c>
      <c r="E36" s="456" t="s">
        <v>140</v>
      </c>
      <c r="F36" s="457" t="s">
        <v>30</v>
      </c>
      <c r="G36" s="458" t="s">
        <v>50</v>
      </c>
      <c r="H36" s="459" t="s">
        <v>119</v>
      </c>
      <c r="I36" s="757"/>
      <c r="J36" s="453"/>
      <c r="K36" s="408">
        <v>0</v>
      </c>
      <c r="L36" s="408">
        <v>0</v>
      </c>
      <c r="M36" s="439" t="s">
        <v>234</v>
      </c>
      <c r="N36" s="264"/>
      <c r="O36" s="734"/>
      <c r="P36" s="264"/>
      <c r="Q36" s="264"/>
      <c r="R36" s="264"/>
      <c r="S36" s="410">
        <f t="shared" si="48"/>
        <v>0</v>
      </c>
      <c r="T36" s="410">
        <f t="shared" si="48"/>
        <v>10000</v>
      </c>
      <c r="U36" s="410">
        <f t="shared" si="48"/>
        <v>0</v>
      </c>
      <c r="V36" s="410">
        <f t="shared" si="48"/>
        <v>0</v>
      </c>
      <c r="W36" s="410">
        <f t="shared" si="48"/>
        <v>0</v>
      </c>
      <c r="X36" s="410">
        <f t="shared" si="48"/>
        <v>0</v>
      </c>
      <c r="Y36" s="410">
        <f t="shared" si="48"/>
        <v>0</v>
      </c>
      <c r="Z36" s="410">
        <f>(1+CAPEX_Factor)*((SUMIFS(Z$102:Z$266,$E$102:$E$266,$E36,$H$102:$H$266,$H36)*(1-$K36))+(SUMIFS(Z$271:Z$364,$E$271:$E$364,$E36,$H$271:$H$364,$H36)*(1-$L36)*TierA_TPI_BEefforts))</f>
        <v>0</v>
      </c>
      <c r="AA36" s="410">
        <f>(1+CAPEX_Factor)*((SUMIFS(AA$102:AA$266,$E$102:$E$266,$E36,$H$102:$H$266,$H36)*(1-$K36))+(SUMIFS(AA$271:AA$364,$E$271:$E$364,$E36,$H$271:$H$364,$H36)*(1-$L36)*TierA_TPI_BEefforts))</f>
        <v>0</v>
      </c>
      <c r="AB36" s="264"/>
      <c r="AC36" s="734"/>
      <c r="AD36" s="454"/>
      <c r="AE36" s="264"/>
      <c r="AF36" s="263"/>
      <c r="AG36" s="410">
        <f t="shared" si="49"/>
        <v>0</v>
      </c>
      <c r="AH36" s="410">
        <f t="shared" si="49"/>
        <v>10000</v>
      </c>
      <c r="AI36" s="410">
        <f t="shared" si="49"/>
        <v>0</v>
      </c>
      <c r="AJ36" s="410">
        <f t="shared" si="49"/>
        <v>0</v>
      </c>
      <c r="AK36" s="410">
        <f t="shared" si="49"/>
        <v>0</v>
      </c>
      <c r="AL36" s="410">
        <f t="shared" si="49"/>
        <v>0</v>
      </c>
      <c r="AM36" s="410">
        <f t="shared" si="49"/>
        <v>0</v>
      </c>
      <c r="AN36" s="410">
        <f>(1+CAPEX_Factor)*((SUMIFS(AN$102:AN$266,$E$102:$E$266,$E36,$H$102:$H$266,$H36)*(1-$K36))+(SUMIFS(AN$271:AN$364,$E$271:$E$364,$E36,$H$271:$H$364,$H36)*(1-$L36)*TierA_TPI_BEefforts))</f>
        <v>0</v>
      </c>
      <c r="AO36" s="410">
        <f>(1+CAPEX_Factor)*((SUMIFS(AO$102:AO$266,$E$102:$E$266,$E36,$H$102:$H$266,$H36)*(1-$K36))+(SUMIFS(AO$271:AO$364,$E$271:$E$364,$E36,$H$271:$H$364,$H36)*(1-$L36)*TierA_TPI_BEefforts))</f>
        <v>0</v>
      </c>
      <c r="AP36" s="264"/>
      <c r="AQ36" s="264"/>
      <c r="AR36" s="734"/>
      <c r="AS36" s="454"/>
      <c r="AT36" s="264"/>
      <c r="AU36" s="263"/>
      <c r="AV36" s="410">
        <f t="shared" si="50"/>
        <v>0</v>
      </c>
      <c r="AW36" s="410">
        <f t="shared" si="50"/>
        <v>10000</v>
      </c>
      <c r="AX36" s="410">
        <f t="shared" si="50"/>
        <v>0</v>
      </c>
      <c r="AY36" s="410">
        <f t="shared" si="50"/>
        <v>0</v>
      </c>
      <c r="AZ36" s="410">
        <f t="shared" si="50"/>
        <v>0</v>
      </c>
      <c r="BA36" s="410">
        <f t="shared" si="50"/>
        <v>0</v>
      </c>
      <c r="BB36" s="410">
        <f t="shared" si="50"/>
        <v>0</v>
      </c>
      <c r="BC36" s="410">
        <f>(1+CAPEX_Factor)*((SUMIFS(BC$102:BC$266,$E$102:$E$266,$E36,$H$102:$H$266,$H36)*(1-$K36))+(SUMIFS(BC$271:BC$364,$E$271:$E$364,$E36,$H$271:$H$364,$H36)*(1-$L36)*TierA_TPI_BEefforts))</f>
        <v>0</v>
      </c>
      <c r="BD36" s="410">
        <f>(1+CAPEX_Factor)*((SUMIFS(BD$102:BD$266,$E$102:$E$266,$E36,$H$102:$H$266,$H36)*(1-$K36))+(SUMIFS(BD$271:BD$364,$E$271:$E$364,$E36,$H$271:$H$364,$H36)*(1-$L36)*TierA_TPI_BEefforts))</f>
        <v>0</v>
      </c>
      <c r="BE36" s="264"/>
      <c r="BF36" s="734"/>
      <c r="BG36" s="454"/>
      <c r="BH36" s="264"/>
      <c r="BI36" s="263"/>
      <c r="BJ36" s="410">
        <f t="shared" si="51"/>
        <v>0</v>
      </c>
      <c r="BK36" s="410">
        <f t="shared" si="51"/>
        <v>10000</v>
      </c>
      <c r="BL36" s="410">
        <f t="shared" si="51"/>
        <v>0</v>
      </c>
      <c r="BM36" s="410">
        <f t="shared" si="51"/>
        <v>0</v>
      </c>
      <c r="BN36" s="410">
        <f t="shared" si="51"/>
        <v>0</v>
      </c>
      <c r="BO36" s="410">
        <f t="shared" si="51"/>
        <v>0</v>
      </c>
      <c r="BP36" s="410">
        <f t="shared" si="51"/>
        <v>0</v>
      </c>
      <c r="BQ36" s="410">
        <f>(1+CAPEX_Factor)*((SUMIFS(BQ$102:BQ$266,$E$102:$E$266,$E36,$H$102:$H$266,$H36)*(1-$K36))+(SUMIFS(BQ$271:BQ$364,$E$271:$E$364,$E36,$H$271:$H$364,$H36)*(1-$L36)*TierA_TPI_BEefforts))</f>
        <v>0</v>
      </c>
      <c r="BR36" s="410">
        <f>(1+CAPEX_Factor)*((SUMIFS(BR$102:BR$266,$E$102:$E$266,$E36,$H$102:$H$266,$H36)*(1-$K36))+(SUMIFS(BR$271:BR$364,$E$271:$E$364,$E36,$H$271:$H$364,$H36)*(1-$L36)*TierA_TPI_BEefforts))</f>
        <v>0</v>
      </c>
      <c r="BS36" s="263"/>
    </row>
    <row r="37" spans="1:71" ht="24" customHeight="1" x14ac:dyDescent="0.2">
      <c r="A37" s="312"/>
      <c r="B37" s="401"/>
      <c r="C37" s="157"/>
      <c r="D37" s="455" t="s">
        <v>111</v>
      </c>
      <c r="E37" s="456" t="s">
        <v>140</v>
      </c>
      <c r="F37" s="460" t="s">
        <v>49</v>
      </c>
      <c r="G37" s="458" t="s">
        <v>47</v>
      </c>
      <c r="H37" s="459" t="s">
        <v>120</v>
      </c>
      <c r="I37" s="757"/>
      <c r="J37" s="453"/>
      <c r="K37" s="408" t="s">
        <v>58</v>
      </c>
      <c r="L37" s="408" t="s">
        <v>58</v>
      </c>
      <c r="M37" s="439"/>
      <c r="N37" s="264"/>
      <c r="O37" s="734"/>
      <c r="P37" s="264"/>
      <c r="Q37" s="264"/>
      <c r="R37" s="264"/>
      <c r="S37" s="408">
        <f>Inputs_CPs!$F$13</f>
        <v>0.2</v>
      </c>
      <c r="T37" s="408">
        <f>Inputs_CPs!$G$13</f>
        <v>0.2</v>
      </c>
      <c r="U37" s="408">
        <f>Inputs_CPs!$H$13</f>
        <v>0.2</v>
      </c>
      <c r="V37" s="408">
        <f>Inputs_CPs!$I$13</f>
        <v>0.2</v>
      </c>
      <c r="W37" s="408">
        <f>Inputs_CPs!$N$13</f>
        <v>0.2</v>
      </c>
      <c r="X37" s="408">
        <f>Inputs_CPs!$O$13</f>
        <v>0.2</v>
      </c>
      <c r="Y37" s="408">
        <f>Inputs_CPs!$K$13</f>
        <v>0.2</v>
      </c>
      <c r="Z37" s="408">
        <f>Inputs_CPs!$L$13</f>
        <v>0.2</v>
      </c>
      <c r="AA37" s="408">
        <f>Inputs_CPs!$M$13</f>
        <v>0.2</v>
      </c>
      <c r="AB37" s="264"/>
      <c r="AC37" s="734"/>
      <c r="AD37" s="454"/>
      <c r="AE37" s="264"/>
      <c r="AF37" s="263"/>
      <c r="AG37" s="408">
        <f>Inputs_CPs!$F$13</f>
        <v>0.2</v>
      </c>
      <c r="AH37" s="408">
        <f>Inputs_CPs!$G$13</f>
        <v>0.2</v>
      </c>
      <c r="AI37" s="408">
        <f>Inputs_CPs!$H$13</f>
        <v>0.2</v>
      </c>
      <c r="AJ37" s="408">
        <f>Inputs_CPs!$I$13</f>
        <v>0.2</v>
      </c>
      <c r="AK37" s="408">
        <f>Inputs_CPs!$N$13</f>
        <v>0.2</v>
      </c>
      <c r="AL37" s="408">
        <f>Inputs_CPs!$O$13</f>
        <v>0.2</v>
      </c>
      <c r="AM37" s="408">
        <f>Inputs_CPs!$K$13</f>
        <v>0.2</v>
      </c>
      <c r="AN37" s="408">
        <f>Inputs_CPs!$L$13</f>
        <v>0.2</v>
      </c>
      <c r="AO37" s="408">
        <f>Inputs_CPs!$M$13</f>
        <v>0.2</v>
      </c>
      <c r="AP37" s="264"/>
      <c r="AQ37" s="264"/>
      <c r="AR37" s="734"/>
      <c r="AS37" s="454"/>
      <c r="AT37" s="264"/>
      <c r="AU37" s="263"/>
      <c r="AV37" s="408">
        <f>Inputs_CPs!$F$13</f>
        <v>0.2</v>
      </c>
      <c r="AW37" s="408">
        <f>Inputs_CPs!$G$13</f>
        <v>0.2</v>
      </c>
      <c r="AX37" s="408">
        <f>Inputs_CPs!$H$13</f>
        <v>0.2</v>
      </c>
      <c r="AY37" s="408">
        <f>Inputs_CPs!$I$13</f>
        <v>0.2</v>
      </c>
      <c r="AZ37" s="408">
        <f>Inputs_CPs!$N$13</f>
        <v>0.2</v>
      </c>
      <c r="BA37" s="408">
        <f>Inputs_CPs!$O$13</f>
        <v>0.2</v>
      </c>
      <c r="BB37" s="408">
        <f>Inputs_CPs!$K$13</f>
        <v>0.2</v>
      </c>
      <c r="BC37" s="408">
        <f>Inputs_CPs!$L$13</f>
        <v>0.2</v>
      </c>
      <c r="BD37" s="408">
        <f>Inputs_CPs!$M$13</f>
        <v>0.2</v>
      </c>
      <c r="BE37" s="264"/>
      <c r="BF37" s="734"/>
      <c r="BG37" s="454"/>
      <c r="BH37" s="264"/>
      <c r="BI37" s="263"/>
      <c r="BJ37" s="408">
        <f>Inputs_CPs!$F$13</f>
        <v>0.2</v>
      </c>
      <c r="BK37" s="408">
        <f>Inputs_CPs!$G$13</f>
        <v>0.2</v>
      </c>
      <c r="BL37" s="408">
        <f>Inputs_CPs!$H$13</f>
        <v>0.2</v>
      </c>
      <c r="BM37" s="408">
        <f>Inputs_CPs!$I$13</f>
        <v>0.2</v>
      </c>
      <c r="BN37" s="408">
        <f>Inputs_CPs!$N$13</f>
        <v>0.2</v>
      </c>
      <c r="BO37" s="408">
        <f>Inputs_CPs!$O$13</f>
        <v>0.2</v>
      </c>
      <c r="BP37" s="408">
        <f>Inputs_CPs!$K$13</f>
        <v>0.2</v>
      </c>
      <c r="BQ37" s="408">
        <f>Inputs_CPs!$L$13</f>
        <v>0.2</v>
      </c>
      <c r="BR37" s="408">
        <f>Inputs_CPs!$M$13</f>
        <v>0.2</v>
      </c>
      <c r="BS37" s="263"/>
    </row>
    <row r="38" spans="1:71" ht="24" customHeight="1" x14ac:dyDescent="0.2">
      <c r="A38" s="312"/>
      <c r="B38" s="401"/>
      <c r="C38" s="157"/>
      <c r="D38" s="461" t="s">
        <v>111</v>
      </c>
      <c r="E38" s="462" t="s">
        <v>145</v>
      </c>
      <c r="F38" s="463" t="s">
        <v>61</v>
      </c>
      <c r="G38" s="464" t="s">
        <v>50</v>
      </c>
      <c r="H38" s="465" t="s">
        <v>152</v>
      </c>
      <c r="I38" s="738" t="s">
        <v>242</v>
      </c>
      <c r="J38" s="453"/>
      <c r="K38" s="408">
        <f>Inputs_Estimates!$E$29</f>
        <v>0.2</v>
      </c>
      <c r="L38" s="408">
        <v>0</v>
      </c>
      <c r="M38" s="466" t="s">
        <v>234</v>
      </c>
      <c r="N38" s="264"/>
      <c r="O38" s="738" t="s">
        <v>390</v>
      </c>
      <c r="P38" s="264"/>
      <c r="Q38" s="264"/>
      <c r="R38" s="264"/>
      <c r="S38" s="410">
        <f t="shared" ref="S38:Y39" si="52">(1+CAPEX_Factor)*((SUMIFS(S$102:S$266,$E$102:$E$266,$E38,$H$102:$H$266,$H38)*(1-$K38))+(SUMIFS(S$271:S$364,$E$271:$E$364,$E38,$H$271:$H$364,$H38)*(1-$L38)))</f>
        <v>0</v>
      </c>
      <c r="T38" s="410">
        <f t="shared" si="52"/>
        <v>10.560000000000002</v>
      </c>
      <c r="U38" s="410">
        <f t="shared" si="52"/>
        <v>0</v>
      </c>
      <c r="V38" s="410">
        <f t="shared" si="52"/>
        <v>0</v>
      </c>
      <c r="W38" s="410">
        <f t="shared" si="52"/>
        <v>0</v>
      </c>
      <c r="X38" s="410">
        <f t="shared" si="52"/>
        <v>0</v>
      </c>
      <c r="Y38" s="410">
        <f t="shared" si="52"/>
        <v>0</v>
      </c>
      <c r="Z38" s="410">
        <f>(1+CAPEX_Factor)*((SUMIFS(Z$102:Z$266,$E$102:$E$266,$E38,$H$102:$H$266,$H38)*(1-$K38))+(SUMIFS(Z$271:Z$364,$E$271:$E$364,$E38,$H$271:$H$364,$H38)*(1-$L38)*TierA_TPI_BEefforts))</f>
        <v>0</v>
      </c>
      <c r="AA38" s="410">
        <f>(1+CAPEX_Factor)*((SUMIFS(AA$102:AA$266,$E$102:$E$266,$E38,$H$102:$H$266,$H38)*(1-$K38))+(SUMIFS(AA$271:AA$364,$E$271:$E$364,$E38,$H$271:$H$364,$H38)*(1-$L38)*TierA_TPI_BEefforts))</f>
        <v>0</v>
      </c>
      <c r="AB38" s="264"/>
      <c r="AC38" s="738" t="s">
        <v>390</v>
      </c>
      <c r="AD38" s="467"/>
      <c r="AE38" s="264"/>
      <c r="AF38" s="263"/>
      <c r="AG38" s="410">
        <f t="shared" ref="AG38:AM39" si="53">(1+CAPEX_Factor)*((SUMIFS(AG$102:AG$266,$E$102:$E$266,$E38,$H$102:$H$266,$H38)*(1-$K38))+(SUMIFS(AG$271:AG$364,$E$271:$E$364,$E38,$H$271:$H$364,$H38)*(1-$L38)))</f>
        <v>0</v>
      </c>
      <c r="AH38" s="410">
        <f t="shared" si="53"/>
        <v>10.560000000000002</v>
      </c>
      <c r="AI38" s="410">
        <f t="shared" si="53"/>
        <v>0</v>
      </c>
      <c r="AJ38" s="410">
        <f t="shared" si="53"/>
        <v>0</v>
      </c>
      <c r="AK38" s="410">
        <f t="shared" si="53"/>
        <v>0</v>
      </c>
      <c r="AL38" s="410">
        <f t="shared" si="53"/>
        <v>0</v>
      </c>
      <c r="AM38" s="410">
        <f t="shared" si="53"/>
        <v>0</v>
      </c>
      <c r="AN38" s="410">
        <f>(1+CAPEX_Factor)*((SUMIFS(AN$102:AN$266,$E$102:$E$266,$E38,$H$102:$H$266,$H38)*(1-$K38))+(SUMIFS(AN$271:AN$364,$E$271:$E$364,$E38,$H$271:$H$364,$H38)*(1-$L38)*TierA_TPI_BEefforts))</f>
        <v>0</v>
      </c>
      <c r="AO38" s="410">
        <f>(1+CAPEX_Factor)*((SUMIFS(AO$102:AO$266,$E$102:$E$266,$E38,$H$102:$H$266,$H38)*(1-$K38))+(SUMIFS(AO$271:AO$364,$E$271:$E$364,$E38,$H$271:$H$364,$H38)*(1-$L38)*TierA_TPI_BEefforts))</f>
        <v>0</v>
      </c>
      <c r="AP38" s="264"/>
      <c r="AQ38" s="264"/>
      <c r="AR38" s="738" t="s">
        <v>389</v>
      </c>
      <c r="AS38" s="454"/>
      <c r="AT38" s="264"/>
      <c r="AU38" s="263"/>
      <c r="AV38" s="410">
        <f t="shared" ref="AV38:BB39" si="54">(1+CAPEX_Factor)*((SUMIFS(AV$102:AV$266,$E$102:$E$266,$E38,$H$102:$H$266,$H38)*(1-$K38))+(SUMIFS(AV$271:AV$364,$E$271:$E$364,$E38,$H$271:$H$364,$H38)*(1-$L38)))</f>
        <v>0</v>
      </c>
      <c r="AW38" s="410">
        <f t="shared" si="54"/>
        <v>10.560000000000002</v>
      </c>
      <c r="AX38" s="410">
        <f t="shared" si="54"/>
        <v>0</v>
      </c>
      <c r="AY38" s="410">
        <f t="shared" si="54"/>
        <v>0</v>
      </c>
      <c r="AZ38" s="410">
        <f t="shared" si="54"/>
        <v>0</v>
      </c>
      <c r="BA38" s="410">
        <f t="shared" si="54"/>
        <v>0</v>
      </c>
      <c r="BB38" s="410">
        <f t="shared" si="54"/>
        <v>0</v>
      </c>
      <c r="BC38" s="410">
        <f>(1+CAPEX_Factor)*((SUMIFS(BC$102:BC$266,$E$102:$E$266,$E38,$H$102:$H$266,$H38)*(1-$K38))+(SUMIFS(BC$271:BC$364,$E$271:$E$364,$E38,$H$271:$H$364,$H38)*(1-$L38)*TierA_TPI_BEefforts))</f>
        <v>0</v>
      </c>
      <c r="BD38" s="410">
        <f>(1+CAPEX_Factor)*((SUMIFS(BD$102:BD$266,$E$102:$E$266,$E38,$H$102:$H$266,$H38)*(1-$K38))+(SUMIFS(BD$271:BD$364,$E$271:$E$364,$E38,$H$271:$H$364,$H38)*(1-$L38)*TierA_TPI_BEefforts))</f>
        <v>0</v>
      </c>
      <c r="BE38" s="264"/>
      <c r="BF38" s="738" t="s">
        <v>389</v>
      </c>
      <c r="BG38" s="454"/>
      <c r="BH38" s="264"/>
      <c r="BI38" s="263"/>
      <c r="BJ38" s="410">
        <f t="shared" ref="BJ38:BP39" si="55">(1+CAPEX_Factor)*((SUMIFS(BJ$102:BJ$266,$E$102:$E$266,$E38,$H$102:$H$266,$H38)*(1-$K38))+(SUMIFS(BJ$271:BJ$364,$E$271:$E$364,$E38,$H$271:$H$364,$H38)*(1-$L38)))</f>
        <v>0</v>
      </c>
      <c r="BK38" s="410">
        <f t="shared" si="55"/>
        <v>10.560000000000002</v>
      </c>
      <c r="BL38" s="410">
        <f t="shared" si="55"/>
        <v>0</v>
      </c>
      <c r="BM38" s="410">
        <f t="shared" si="55"/>
        <v>0</v>
      </c>
      <c r="BN38" s="410">
        <f t="shared" si="55"/>
        <v>0</v>
      </c>
      <c r="BO38" s="410">
        <f t="shared" si="55"/>
        <v>0</v>
      </c>
      <c r="BP38" s="410">
        <f t="shared" si="55"/>
        <v>0</v>
      </c>
      <c r="BQ38" s="410">
        <f>(1+CAPEX_Factor)*((SUMIFS(BQ$102:BQ$266,$E$102:$E$266,$E38,$H$102:$H$266,$H38)*(1-$K38))+(SUMIFS(BQ$271:BQ$364,$E$271:$E$364,$E38,$H$271:$H$364,$H38)*(1-$L38)*TierA_TPI_BEefforts))</f>
        <v>0</v>
      </c>
      <c r="BR38" s="410">
        <f>(1+CAPEX_Factor)*((SUMIFS(BR$102:BR$266,$E$102:$E$266,$E38,$H$102:$H$266,$H38)*(1-$K38))+(SUMIFS(BR$271:BR$364,$E$271:$E$364,$E38,$H$271:$H$364,$H38)*(1-$L38)*TierA_TPI_BEefforts))</f>
        <v>0</v>
      </c>
      <c r="BS38" s="263"/>
    </row>
    <row r="39" spans="1:71" ht="24" customHeight="1" x14ac:dyDescent="0.2">
      <c r="A39" s="312"/>
      <c r="B39" s="401"/>
      <c r="C39" s="157"/>
      <c r="D39" s="461" t="s">
        <v>111</v>
      </c>
      <c r="E39" s="462" t="s">
        <v>145</v>
      </c>
      <c r="F39" s="463" t="s">
        <v>30</v>
      </c>
      <c r="G39" s="468" t="s">
        <v>50</v>
      </c>
      <c r="H39" s="465" t="s">
        <v>119</v>
      </c>
      <c r="I39" s="738"/>
      <c r="J39" s="453"/>
      <c r="K39" s="408">
        <v>0</v>
      </c>
      <c r="L39" s="408">
        <v>0</v>
      </c>
      <c r="M39" s="466" t="s">
        <v>234</v>
      </c>
      <c r="N39" s="264"/>
      <c r="O39" s="738"/>
      <c r="P39" s="264"/>
      <c r="Q39" s="264"/>
      <c r="R39" s="264"/>
      <c r="S39" s="410">
        <f t="shared" si="52"/>
        <v>0</v>
      </c>
      <c r="T39" s="410">
        <f t="shared" si="52"/>
        <v>10000</v>
      </c>
      <c r="U39" s="410">
        <f t="shared" si="52"/>
        <v>0</v>
      </c>
      <c r="V39" s="410">
        <f t="shared" si="52"/>
        <v>0</v>
      </c>
      <c r="W39" s="410">
        <f t="shared" si="52"/>
        <v>0</v>
      </c>
      <c r="X39" s="410">
        <f t="shared" si="52"/>
        <v>0</v>
      </c>
      <c r="Y39" s="410">
        <f t="shared" si="52"/>
        <v>0</v>
      </c>
      <c r="Z39" s="410">
        <f>(1+CAPEX_Factor)*((SUMIFS(Z$102:Z$266,$E$102:$E$266,$E39,$H$102:$H$266,$H39)*(1-$K39))+(SUMIFS(Z$271:Z$364,$E$271:$E$364,$E39,$H$271:$H$364,$H39)*(1-$L39)*TierA_TPI_BEefforts))</f>
        <v>0</v>
      </c>
      <c r="AA39" s="410">
        <f>(1+CAPEX_Factor)*((SUMIFS(AA$102:AA$266,$E$102:$E$266,$E39,$H$102:$H$266,$H39)*(1-$K39))+(SUMIFS(AA$271:AA$364,$E$271:$E$364,$E39,$H$271:$H$364,$H39)*(1-$L39)*TierA_TPI_BEefforts))</f>
        <v>0</v>
      </c>
      <c r="AB39" s="264"/>
      <c r="AC39" s="738"/>
      <c r="AD39" s="467"/>
      <c r="AE39" s="264"/>
      <c r="AF39" s="263"/>
      <c r="AG39" s="410">
        <f t="shared" si="53"/>
        <v>0</v>
      </c>
      <c r="AH39" s="410">
        <f t="shared" si="53"/>
        <v>10000</v>
      </c>
      <c r="AI39" s="410">
        <f t="shared" si="53"/>
        <v>0</v>
      </c>
      <c r="AJ39" s="410">
        <f t="shared" si="53"/>
        <v>0</v>
      </c>
      <c r="AK39" s="410">
        <f t="shared" si="53"/>
        <v>0</v>
      </c>
      <c r="AL39" s="410">
        <f t="shared" si="53"/>
        <v>0</v>
      </c>
      <c r="AM39" s="410">
        <f t="shared" si="53"/>
        <v>0</v>
      </c>
      <c r="AN39" s="410">
        <f>(1+CAPEX_Factor)*((SUMIFS(AN$102:AN$266,$E$102:$E$266,$E39,$H$102:$H$266,$H39)*(1-$K39))+(SUMIFS(AN$271:AN$364,$E$271:$E$364,$E39,$H$271:$H$364,$H39)*(1-$L39)*TierA_TPI_BEefforts))</f>
        <v>0</v>
      </c>
      <c r="AO39" s="410">
        <f>(1+CAPEX_Factor)*((SUMIFS(AO$102:AO$266,$E$102:$E$266,$E39,$H$102:$H$266,$H39)*(1-$K39))+(SUMIFS(AO$271:AO$364,$E$271:$E$364,$E39,$H$271:$H$364,$H39)*(1-$L39)*TierA_TPI_BEefforts))</f>
        <v>0</v>
      </c>
      <c r="AP39" s="264"/>
      <c r="AQ39" s="264"/>
      <c r="AR39" s="738"/>
      <c r="AS39" s="454"/>
      <c r="AT39" s="264"/>
      <c r="AU39" s="263"/>
      <c r="AV39" s="410">
        <f t="shared" si="54"/>
        <v>0</v>
      </c>
      <c r="AW39" s="410">
        <f t="shared" si="54"/>
        <v>10000</v>
      </c>
      <c r="AX39" s="410">
        <f t="shared" si="54"/>
        <v>0</v>
      </c>
      <c r="AY39" s="410">
        <f t="shared" si="54"/>
        <v>0</v>
      </c>
      <c r="AZ39" s="410">
        <f t="shared" si="54"/>
        <v>0</v>
      </c>
      <c r="BA39" s="410">
        <f t="shared" si="54"/>
        <v>0</v>
      </c>
      <c r="BB39" s="410">
        <f t="shared" si="54"/>
        <v>0</v>
      </c>
      <c r="BC39" s="410">
        <f>(1+CAPEX_Factor)*((SUMIFS(BC$102:BC$266,$E$102:$E$266,$E39,$H$102:$H$266,$H39)*(1-$K39))+(SUMIFS(BC$271:BC$364,$E$271:$E$364,$E39,$H$271:$H$364,$H39)*(1-$L39)*TierA_TPI_BEefforts))</f>
        <v>0</v>
      </c>
      <c r="BD39" s="410">
        <f>(1+CAPEX_Factor)*((SUMIFS(BD$102:BD$266,$E$102:$E$266,$E39,$H$102:$H$266,$H39)*(1-$K39))+(SUMIFS(BD$271:BD$364,$E$271:$E$364,$E39,$H$271:$H$364,$H39)*(1-$L39)*TierA_TPI_BEefforts))</f>
        <v>0</v>
      </c>
      <c r="BE39" s="264"/>
      <c r="BF39" s="738"/>
      <c r="BG39" s="454"/>
      <c r="BH39" s="264"/>
      <c r="BI39" s="263"/>
      <c r="BJ39" s="410">
        <f t="shared" si="55"/>
        <v>0</v>
      </c>
      <c r="BK39" s="410">
        <f t="shared" si="55"/>
        <v>10000</v>
      </c>
      <c r="BL39" s="410">
        <f t="shared" si="55"/>
        <v>0</v>
      </c>
      <c r="BM39" s="410">
        <f t="shared" si="55"/>
        <v>0</v>
      </c>
      <c r="BN39" s="410">
        <f t="shared" si="55"/>
        <v>0</v>
      </c>
      <c r="BO39" s="410">
        <f t="shared" si="55"/>
        <v>0</v>
      </c>
      <c r="BP39" s="410">
        <f t="shared" si="55"/>
        <v>0</v>
      </c>
      <c r="BQ39" s="410">
        <f>(1+CAPEX_Factor)*((SUMIFS(BQ$102:BQ$266,$E$102:$E$266,$E39,$H$102:$H$266,$H39)*(1-$K39))+(SUMIFS(BQ$271:BQ$364,$E$271:$E$364,$E39,$H$271:$H$364,$H39)*(1-$L39)*TierA_TPI_BEefforts))</f>
        <v>0</v>
      </c>
      <c r="BR39" s="410">
        <f>(1+CAPEX_Factor)*((SUMIFS(BR$102:BR$266,$E$102:$E$266,$E39,$H$102:$H$266,$H39)*(1-$K39))+(SUMIFS(BR$271:BR$364,$E$271:$E$364,$E39,$H$271:$H$364,$H39)*(1-$L39)*TierA_TPI_BEefforts))</f>
        <v>0</v>
      </c>
      <c r="BS39" s="263"/>
    </row>
    <row r="40" spans="1:71" ht="24" customHeight="1" x14ac:dyDescent="0.2">
      <c r="A40" s="312"/>
      <c r="B40" s="401"/>
      <c r="C40" s="157"/>
      <c r="D40" s="461" t="s">
        <v>111</v>
      </c>
      <c r="E40" s="462" t="s">
        <v>145</v>
      </c>
      <c r="F40" s="469" t="s">
        <v>49</v>
      </c>
      <c r="G40" s="468" t="s">
        <v>47</v>
      </c>
      <c r="H40" s="465" t="s">
        <v>120</v>
      </c>
      <c r="I40" s="738"/>
      <c r="J40" s="453"/>
      <c r="K40" s="408" t="s">
        <v>58</v>
      </c>
      <c r="L40" s="408" t="s">
        <v>58</v>
      </c>
      <c r="M40" s="466"/>
      <c r="N40" s="264"/>
      <c r="O40" s="738"/>
      <c r="P40" s="264"/>
      <c r="Q40" s="264"/>
      <c r="R40" s="264"/>
      <c r="S40" s="408">
        <f>Inputs_CPs!$F$13</f>
        <v>0.2</v>
      </c>
      <c r="T40" s="408">
        <f>Inputs_CPs!$G$13</f>
        <v>0.2</v>
      </c>
      <c r="U40" s="408">
        <f>Inputs_CPs!$H$13</f>
        <v>0.2</v>
      </c>
      <c r="V40" s="408">
        <f>Inputs_CPs!$I$13</f>
        <v>0.2</v>
      </c>
      <c r="W40" s="408">
        <f>Inputs_CPs!$N$13</f>
        <v>0.2</v>
      </c>
      <c r="X40" s="408">
        <f>Inputs_CPs!$O$13</f>
        <v>0.2</v>
      </c>
      <c r="Y40" s="408">
        <f>Inputs_CPs!$K$13</f>
        <v>0.2</v>
      </c>
      <c r="Z40" s="408">
        <f>Inputs_CPs!$L$13</f>
        <v>0.2</v>
      </c>
      <c r="AA40" s="408">
        <f>Inputs_CPs!$M$13</f>
        <v>0.2</v>
      </c>
      <c r="AB40" s="264"/>
      <c r="AC40" s="738"/>
      <c r="AD40" s="467"/>
      <c r="AE40" s="264"/>
      <c r="AF40" s="263"/>
      <c r="AG40" s="408">
        <f>Inputs_CPs!$F$13</f>
        <v>0.2</v>
      </c>
      <c r="AH40" s="408">
        <f>Inputs_CPs!$G$13</f>
        <v>0.2</v>
      </c>
      <c r="AI40" s="408">
        <f>Inputs_CPs!$H$13</f>
        <v>0.2</v>
      </c>
      <c r="AJ40" s="408">
        <f>Inputs_CPs!$I$13</f>
        <v>0.2</v>
      </c>
      <c r="AK40" s="408">
        <f>Inputs_CPs!$N$13</f>
        <v>0.2</v>
      </c>
      <c r="AL40" s="408">
        <f>Inputs_CPs!$O$13</f>
        <v>0.2</v>
      </c>
      <c r="AM40" s="408">
        <f>Inputs_CPs!$K$13</f>
        <v>0.2</v>
      </c>
      <c r="AN40" s="408">
        <f>Inputs_CPs!$L$13</f>
        <v>0.2</v>
      </c>
      <c r="AO40" s="408">
        <f>Inputs_CPs!$M$13</f>
        <v>0.2</v>
      </c>
      <c r="AP40" s="264"/>
      <c r="AQ40" s="264"/>
      <c r="AR40" s="738"/>
      <c r="AS40" s="454"/>
      <c r="AT40" s="264"/>
      <c r="AU40" s="263"/>
      <c r="AV40" s="408">
        <f>Inputs_CPs!$F$13</f>
        <v>0.2</v>
      </c>
      <c r="AW40" s="408">
        <f>Inputs_CPs!$G$13</f>
        <v>0.2</v>
      </c>
      <c r="AX40" s="408">
        <f>Inputs_CPs!$H$13</f>
        <v>0.2</v>
      </c>
      <c r="AY40" s="408">
        <f>Inputs_CPs!$I$13</f>
        <v>0.2</v>
      </c>
      <c r="AZ40" s="408">
        <f>Inputs_CPs!$N$13</f>
        <v>0.2</v>
      </c>
      <c r="BA40" s="408">
        <f>Inputs_CPs!$O$13</f>
        <v>0.2</v>
      </c>
      <c r="BB40" s="408">
        <f>Inputs_CPs!$K$13</f>
        <v>0.2</v>
      </c>
      <c r="BC40" s="408">
        <f>Inputs_CPs!$L$13</f>
        <v>0.2</v>
      </c>
      <c r="BD40" s="408">
        <f>Inputs_CPs!$M$13</f>
        <v>0.2</v>
      </c>
      <c r="BE40" s="264"/>
      <c r="BF40" s="738"/>
      <c r="BG40" s="454"/>
      <c r="BH40" s="264"/>
      <c r="BI40" s="263"/>
      <c r="BJ40" s="408">
        <f>Inputs_CPs!$F$13</f>
        <v>0.2</v>
      </c>
      <c r="BK40" s="408">
        <f>Inputs_CPs!$G$13</f>
        <v>0.2</v>
      </c>
      <c r="BL40" s="408">
        <f>Inputs_CPs!$H$13</f>
        <v>0.2</v>
      </c>
      <c r="BM40" s="408">
        <f>Inputs_CPs!$I$13</f>
        <v>0.2</v>
      </c>
      <c r="BN40" s="408">
        <f>Inputs_CPs!$N$13</f>
        <v>0.2</v>
      </c>
      <c r="BO40" s="408">
        <f>Inputs_CPs!$O$13</f>
        <v>0.2</v>
      </c>
      <c r="BP40" s="408">
        <f>Inputs_CPs!$K$13</f>
        <v>0.2</v>
      </c>
      <c r="BQ40" s="408">
        <f>Inputs_CPs!$L$13</f>
        <v>0.2</v>
      </c>
      <c r="BR40" s="408">
        <f>Inputs_CPs!$M$13</f>
        <v>0.2</v>
      </c>
      <c r="BS40" s="263"/>
    </row>
    <row r="41" spans="1:71" ht="24" customHeight="1" x14ac:dyDescent="0.2">
      <c r="A41" s="312"/>
      <c r="B41" s="401"/>
      <c r="C41" s="157"/>
      <c r="D41" s="455" t="s">
        <v>111</v>
      </c>
      <c r="E41" s="456" t="s">
        <v>121</v>
      </c>
      <c r="F41" s="457" t="s">
        <v>61</v>
      </c>
      <c r="G41" s="470" t="s">
        <v>50</v>
      </c>
      <c r="H41" s="459" t="s">
        <v>152</v>
      </c>
      <c r="I41" s="739" t="s">
        <v>243</v>
      </c>
      <c r="J41" s="453"/>
      <c r="K41" s="408">
        <f>Inputs_Estimates!$E$29</f>
        <v>0.2</v>
      </c>
      <c r="L41" s="408">
        <v>0</v>
      </c>
      <c r="M41" s="439" t="s">
        <v>421</v>
      </c>
      <c r="N41" s="264"/>
      <c r="O41" s="739" t="s">
        <v>391</v>
      </c>
      <c r="P41" s="264"/>
      <c r="Q41" s="264"/>
      <c r="R41" s="264"/>
      <c r="S41" s="410">
        <f t="shared" ref="S41:Y42" si="56">(1+CAPEX_Factor)*((SUMIFS(S$102:S$266,$E$102:$E$266,$E41,$H$102:$H$266,$H41)*(1-$K41))+(SUMIFS(S$271:S$364,$E$271:$E$364,$E41,$H$271:$H$364,$H41)*(1-$L41)))</f>
        <v>85.8</v>
      </c>
      <c r="T41" s="410">
        <f t="shared" si="56"/>
        <v>96.36</v>
      </c>
      <c r="U41" s="410">
        <f t="shared" si="56"/>
        <v>85.8</v>
      </c>
      <c r="V41" s="410">
        <f t="shared" si="56"/>
        <v>85.8</v>
      </c>
      <c r="W41" s="410">
        <f t="shared" si="56"/>
        <v>0</v>
      </c>
      <c r="X41" s="410">
        <f t="shared" si="56"/>
        <v>0</v>
      </c>
      <c r="Y41" s="410">
        <f t="shared" si="56"/>
        <v>42.9</v>
      </c>
      <c r="Z41" s="410">
        <f>(1+CAPEX_Factor)*((SUMIFS(Z$102:Z$266,$E$102:$E$266,$E41,$H$102:$H$266,$H41)*(1-$K41))+(SUMIFS(Z$271:Z$364,$E$271:$E$364,$E41,$H$271:$H$364,$H41)*(1-$L41)*TierA_TPI_BEefforts))</f>
        <v>0</v>
      </c>
      <c r="AA41" s="410">
        <f>(1+CAPEX_Factor)*((SUMIFS(AA$102:AA$266,$E$102:$E$266,$E41,$H$102:$H$266,$H41)*(1-$K41))+(SUMIFS(AA$271:AA$364,$E$271:$E$364,$E41,$H$271:$H$364,$H41)*(1-$L41)*TierA_TPI_BEefforts))</f>
        <v>42.9</v>
      </c>
      <c r="AB41" s="264"/>
      <c r="AC41" s="739" t="s">
        <v>391</v>
      </c>
      <c r="AD41" s="467"/>
      <c r="AE41" s="264"/>
      <c r="AF41" s="263"/>
      <c r="AG41" s="410">
        <f t="shared" ref="AG41:AM42" si="57">(1+CAPEX_Factor)*((SUMIFS(AG$102:AG$266,$E$102:$E$266,$E41,$H$102:$H$266,$H41)*(1-$K41))+(SUMIFS(AG$271:AG$364,$E$271:$E$364,$E41,$H$271:$H$364,$H41)*(1-$L41)))</f>
        <v>85.8</v>
      </c>
      <c r="AH41" s="410">
        <f t="shared" si="57"/>
        <v>96.36</v>
      </c>
      <c r="AI41" s="410">
        <f t="shared" si="57"/>
        <v>85.8</v>
      </c>
      <c r="AJ41" s="410">
        <f t="shared" si="57"/>
        <v>85.8</v>
      </c>
      <c r="AK41" s="410">
        <f t="shared" si="57"/>
        <v>0</v>
      </c>
      <c r="AL41" s="410">
        <f t="shared" si="57"/>
        <v>0</v>
      </c>
      <c r="AM41" s="410">
        <f t="shared" si="57"/>
        <v>42.9</v>
      </c>
      <c r="AN41" s="410">
        <f>(1+CAPEX_Factor)*((SUMIFS(AN$102:AN$266,$E$102:$E$266,$E41,$H$102:$H$266,$H41)*(1-$K41))+(SUMIFS(AN$271:AN$364,$E$271:$E$364,$E41,$H$271:$H$364,$H41)*(1-$L41)*TierA_TPI_BEefforts))</f>
        <v>0</v>
      </c>
      <c r="AO41" s="410">
        <f>(1+CAPEX_Factor)*((SUMIFS(AO$102:AO$266,$E$102:$E$266,$E41,$H$102:$H$266,$H41)*(1-$K41))+(SUMIFS(AO$271:AO$364,$E$271:$E$364,$E41,$H$271:$H$364,$H41)*(1-$L41)*TierA_TPI_BEefforts))</f>
        <v>42.9</v>
      </c>
      <c r="AP41" s="264"/>
      <c r="AQ41" s="264"/>
      <c r="AR41" s="739" t="s">
        <v>412</v>
      </c>
      <c r="AS41" s="411"/>
      <c r="AT41" s="264"/>
      <c r="AU41" s="263"/>
      <c r="AV41" s="410">
        <f t="shared" ref="AV41:BB42" si="58">(1+CAPEX_Factor)*((SUMIFS(AV$102:AV$266,$E$102:$E$266,$E41,$H$102:$H$266,$H41)*(1-$K41))+(SUMIFS(AV$271:AV$364,$E$271:$E$364,$E41,$H$271:$H$364,$H41)*(1-$L41)))</f>
        <v>93.72</v>
      </c>
      <c r="AW41" s="410">
        <f t="shared" si="58"/>
        <v>104.28</v>
      </c>
      <c r="AX41" s="410">
        <f t="shared" si="58"/>
        <v>93.72</v>
      </c>
      <c r="AY41" s="410">
        <f t="shared" si="58"/>
        <v>93.72</v>
      </c>
      <c r="AZ41" s="410">
        <f t="shared" si="58"/>
        <v>0</v>
      </c>
      <c r="BA41" s="410">
        <f t="shared" si="58"/>
        <v>0</v>
      </c>
      <c r="BB41" s="410">
        <f t="shared" si="58"/>
        <v>46.86</v>
      </c>
      <c r="BC41" s="410">
        <f>(1+CAPEX_Factor)*((SUMIFS(BC$102:BC$266,$E$102:$E$266,$E41,$H$102:$H$266,$H41)*(1-$K41))+(SUMIFS(BC$271:BC$364,$E$271:$E$364,$E41,$H$271:$H$364,$H41)*(1-$L41)*TierA_TPI_BEefforts))</f>
        <v>0</v>
      </c>
      <c r="BD41" s="410">
        <f>(1+CAPEX_Factor)*((SUMIFS(BD$102:BD$266,$E$102:$E$266,$E41,$H$102:$H$266,$H41)*(1-$K41))+(SUMIFS(BD$271:BD$364,$E$271:$E$364,$E41,$H$271:$H$364,$H41)*(1-$L41)*TierA_TPI_BEefforts))</f>
        <v>46.86</v>
      </c>
      <c r="BE41" s="264"/>
      <c r="BF41" s="739" t="s">
        <v>412</v>
      </c>
      <c r="BG41" s="411"/>
      <c r="BH41" s="264"/>
      <c r="BI41" s="263"/>
      <c r="BJ41" s="410">
        <f t="shared" ref="BJ41:BP42" si="59">(1+CAPEX_Factor)*((SUMIFS(BJ$102:BJ$266,$E$102:$E$266,$E41,$H$102:$H$266,$H41)*(1-$K41))+(SUMIFS(BJ$271:BJ$364,$E$271:$E$364,$E41,$H$271:$H$364,$H41)*(1-$L41)))</f>
        <v>93.72</v>
      </c>
      <c r="BK41" s="410">
        <f t="shared" si="59"/>
        <v>104.28</v>
      </c>
      <c r="BL41" s="410">
        <f t="shared" si="59"/>
        <v>93.72</v>
      </c>
      <c r="BM41" s="410">
        <f t="shared" si="59"/>
        <v>93.72</v>
      </c>
      <c r="BN41" s="410">
        <f t="shared" si="59"/>
        <v>0</v>
      </c>
      <c r="BO41" s="410">
        <f t="shared" si="59"/>
        <v>0</v>
      </c>
      <c r="BP41" s="410">
        <f t="shared" si="59"/>
        <v>46.86</v>
      </c>
      <c r="BQ41" s="410">
        <f>(1+CAPEX_Factor)*((SUMIFS(BQ$102:BQ$266,$E$102:$E$266,$E41,$H$102:$H$266,$H41)*(1-$K41))+(SUMIFS(BQ$271:BQ$364,$E$271:$E$364,$E41,$H$271:$H$364,$H41)*(1-$L41)*TierA_TPI_BEefforts))</f>
        <v>0</v>
      </c>
      <c r="BR41" s="410">
        <f>(1+CAPEX_Factor)*((SUMIFS(BR$102:BR$266,$E$102:$E$266,$E41,$H$102:$H$266,$H41)*(1-$K41))+(SUMIFS(BR$271:BR$364,$E$271:$E$364,$E41,$H$271:$H$364,$H41)*(1-$L41)*TierA_TPI_BEefforts))</f>
        <v>46.86</v>
      </c>
      <c r="BS41" s="263"/>
    </row>
    <row r="42" spans="1:71" ht="24" customHeight="1" x14ac:dyDescent="0.2">
      <c r="A42" s="312"/>
      <c r="B42" s="401"/>
      <c r="C42" s="157"/>
      <c r="D42" s="455" t="s">
        <v>111</v>
      </c>
      <c r="E42" s="456" t="s">
        <v>121</v>
      </c>
      <c r="F42" s="457" t="s">
        <v>30</v>
      </c>
      <c r="G42" s="458" t="s">
        <v>50</v>
      </c>
      <c r="H42" s="459" t="s">
        <v>119</v>
      </c>
      <c r="I42" s="739"/>
      <c r="J42" s="453"/>
      <c r="K42" s="408">
        <v>0</v>
      </c>
      <c r="L42" s="408">
        <v>0</v>
      </c>
      <c r="M42" s="439" t="s">
        <v>421</v>
      </c>
      <c r="N42" s="264"/>
      <c r="O42" s="739"/>
      <c r="P42" s="264"/>
      <c r="Q42" s="264"/>
      <c r="R42" s="264"/>
      <c r="S42" s="410">
        <f t="shared" si="56"/>
        <v>0</v>
      </c>
      <c r="T42" s="410">
        <f t="shared" si="56"/>
        <v>10000</v>
      </c>
      <c r="U42" s="410">
        <f t="shared" si="56"/>
        <v>0</v>
      </c>
      <c r="V42" s="410">
        <f t="shared" si="56"/>
        <v>0</v>
      </c>
      <c r="W42" s="410">
        <f t="shared" si="56"/>
        <v>0</v>
      </c>
      <c r="X42" s="410">
        <f t="shared" si="56"/>
        <v>0</v>
      </c>
      <c r="Y42" s="410">
        <f t="shared" si="56"/>
        <v>0</v>
      </c>
      <c r="Z42" s="410">
        <f>(1+CAPEX_Factor)*((SUMIFS(Z$102:Z$266,$E$102:$E$266,$E42,$H$102:$H$266,$H42)*(1-$K42))+(SUMIFS(Z$271:Z$364,$E$271:$E$364,$E42,$H$271:$H$364,$H42)*(1-$L42)*TierA_TPI_BEefforts))</f>
        <v>0</v>
      </c>
      <c r="AA42" s="410">
        <f>(1+CAPEX_Factor)*((SUMIFS(AA$102:AA$266,$E$102:$E$266,$E42,$H$102:$H$266,$H42)*(1-$K42))+(SUMIFS(AA$271:AA$364,$E$271:$E$364,$E42,$H$271:$H$364,$H42)*(1-$L42)*TierA_TPI_BEefforts))</f>
        <v>0</v>
      </c>
      <c r="AB42" s="264"/>
      <c r="AC42" s="739"/>
      <c r="AD42" s="467"/>
      <c r="AE42" s="264"/>
      <c r="AF42" s="263"/>
      <c r="AG42" s="410">
        <f t="shared" si="57"/>
        <v>0</v>
      </c>
      <c r="AH42" s="410">
        <f t="shared" si="57"/>
        <v>10000</v>
      </c>
      <c r="AI42" s="410">
        <f t="shared" si="57"/>
        <v>0</v>
      </c>
      <c r="AJ42" s="410">
        <f t="shared" si="57"/>
        <v>0</v>
      </c>
      <c r="AK42" s="410">
        <f t="shared" si="57"/>
        <v>0</v>
      </c>
      <c r="AL42" s="410">
        <f t="shared" si="57"/>
        <v>0</v>
      </c>
      <c r="AM42" s="410">
        <f t="shared" si="57"/>
        <v>0</v>
      </c>
      <c r="AN42" s="410">
        <f>(1+CAPEX_Factor)*((SUMIFS(AN$102:AN$266,$E$102:$E$266,$E42,$H$102:$H$266,$H42)*(1-$K42))+(SUMIFS(AN$271:AN$364,$E$271:$E$364,$E42,$H$271:$H$364,$H42)*(1-$L42)*TierA_TPI_BEefforts))</f>
        <v>0</v>
      </c>
      <c r="AO42" s="410">
        <f>(1+CAPEX_Factor)*((SUMIFS(AO$102:AO$266,$E$102:$E$266,$E42,$H$102:$H$266,$H42)*(1-$K42))+(SUMIFS(AO$271:AO$364,$E$271:$E$364,$E42,$H$271:$H$364,$H42)*(1-$L42)*TierA_TPI_BEefforts))</f>
        <v>0</v>
      </c>
      <c r="AP42" s="264"/>
      <c r="AQ42" s="264"/>
      <c r="AR42" s="739"/>
      <c r="AS42" s="411"/>
      <c r="AT42" s="264"/>
      <c r="AU42" s="263"/>
      <c r="AV42" s="410">
        <f t="shared" si="58"/>
        <v>0</v>
      </c>
      <c r="AW42" s="410">
        <f t="shared" si="58"/>
        <v>10000</v>
      </c>
      <c r="AX42" s="410">
        <f t="shared" si="58"/>
        <v>0</v>
      </c>
      <c r="AY42" s="410">
        <f t="shared" si="58"/>
        <v>0</v>
      </c>
      <c r="AZ42" s="410">
        <f t="shared" si="58"/>
        <v>0</v>
      </c>
      <c r="BA42" s="410">
        <f t="shared" si="58"/>
        <v>0</v>
      </c>
      <c r="BB42" s="410">
        <f t="shared" si="58"/>
        <v>0</v>
      </c>
      <c r="BC42" s="410">
        <f>(1+CAPEX_Factor)*((SUMIFS(BC$102:BC$266,$E$102:$E$266,$E42,$H$102:$H$266,$H42)*(1-$K42))+(SUMIFS(BC$271:BC$364,$E$271:$E$364,$E42,$H$271:$H$364,$H42)*(1-$L42)*TierA_TPI_BEefforts))</f>
        <v>0</v>
      </c>
      <c r="BD42" s="410">
        <f>(1+CAPEX_Factor)*((SUMIFS(BD$102:BD$266,$E$102:$E$266,$E42,$H$102:$H$266,$H42)*(1-$K42))+(SUMIFS(BD$271:BD$364,$E$271:$E$364,$E42,$H$271:$H$364,$H42)*(1-$L42)*TierA_TPI_BEefforts))</f>
        <v>0</v>
      </c>
      <c r="BE42" s="264"/>
      <c r="BF42" s="739"/>
      <c r="BG42" s="411"/>
      <c r="BH42" s="264"/>
      <c r="BI42" s="263"/>
      <c r="BJ42" s="410">
        <f t="shared" si="59"/>
        <v>0</v>
      </c>
      <c r="BK42" s="410">
        <f t="shared" si="59"/>
        <v>10000</v>
      </c>
      <c r="BL42" s="410">
        <f t="shared" si="59"/>
        <v>0</v>
      </c>
      <c r="BM42" s="410">
        <f t="shared" si="59"/>
        <v>0</v>
      </c>
      <c r="BN42" s="410">
        <f t="shared" si="59"/>
        <v>0</v>
      </c>
      <c r="BO42" s="410">
        <f t="shared" si="59"/>
        <v>0</v>
      </c>
      <c r="BP42" s="410">
        <f t="shared" si="59"/>
        <v>0</v>
      </c>
      <c r="BQ42" s="410">
        <f>(1+CAPEX_Factor)*((SUMIFS(BQ$102:BQ$266,$E$102:$E$266,$E42,$H$102:$H$266,$H42)*(1-$K42))+(SUMIFS(BQ$271:BQ$364,$E$271:$E$364,$E42,$H$271:$H$364,$H42)*(1-$L42)*TierA_TPI_BEefforts))</f>
        <v>0</v>
      </c>
      <c r="BR42" s="410">
        <f>(1+CAPEX_Factor)*((SUMIFS(BR$102:BR$266,$E$102:$E$266,$E42,$H$102:$H$266,$H42)*(1-$K42))+(SUMIFS(BR$271:BR$364,$E$271:$E$364,$E42,$H$271:$H$364,$H42)*(1-$L42)*TierA_TPI_BEefforts))</f>
        <v>0</v>
      </c>
      <c r="BS42" s="263"/>
    </row>
    <row r="43" spans="1:71" ht="24" customHeight="1" x14ac:dyDescent="0.2">
      <c r="A43" s="312"/>
      <c r="B43" s="401"/>
      <c r="C43" s="157"/>
      <c r="D43" s="455" t="s">
        <v>111</v>
      </c>
      <c r="E43" s="456" t="s">
        <v>121</v>
      </c>
      <c r="F43" s="460" t="s">
        <v>49</v>
      </c>
      <c r="G43" s="458" t="s">
        <v>47</v>
      </c>
      <c r="H43" s="459" t="s">
        <v>120</v>
      </c>
      <c r="I43" s="739"/>
      <c r="J43" s="453"/>
      <c r="K43" s="408" t="s">
        <v>58</v>
      </c>
      <c r="L43" s="408" t="s">
        <v>58</v>
      </c>
      <c r="M43" s="439"/>
      <c r="N43" s="264"/>
      <c r="O43" s="739"/>
      <c r="P43" s="264"/>
      <c r="Q43" s="264"/>
      <c r="R43" s="264"/>
      <c r="S43" s="408">
        <f>Inputs_CPs!$F$13</f>
        <v>0.2</v>
      </c>
      <c r="T43" s="408">
        <f>Inputs_CPs!$G$13</f>
        <v>0.2</v>
      </c>
      <c r="U43" s="408">
        <f>Inputs_CPs!$H$13</f>
        <v>0.2</v>
      </c>
      <c r="V43" s="408">
        <f>Inputs_CPs!$I$13</f>
        <v>0.2</v>
      </c>
      <c r="W43" s="408">
        <f>Inputs_CPs!$N$13</f>
        <v>0.2</v>
      </c>
      <c r="X43" s="408">
        <f>Inputs_CPs!$O$13</f>
        <v>0.2</v>
      </c>
      <c r="Y43" s="408">
        <f>Inputs_CPs!$K$13</f>
        <v>0.2</v>
      </c>
      <c r="Z43" s="408">
        <f>Inputs_CPs!$L$13</f>
        <v>0.2</v>
      </c>
      <c r="AA43" s="408">
        <f>Inputs_CPs!$M$13</f>
        <v>0.2</v>
      </c>
      <c r="AB43" s="264"/>
      <c r="AC43" s="739"/>
      <c r="AD43" s="467"/>
      <c r="AE43" s="264"/>
      <c r="AF43" s="263"/>
      <c r="AG43" s="408">
        <f>Inputs_CPs!$F$13</f>
        <v>0.2</v>
      </c>
      <c r="AH43" s="408">
        <f>Inputs_CPs!$G$13</f>
        <v>0.2</v>
      </c>
      <c r="AI43" s="408">
        <f>Inputs_CPs!$H$13</f>
        <v>0.2</v>
      </c>
      <c r="AJ43" s="408">
        <f>Inputs_CPs!$I$13</f>
        <v>0.2</v>
      </c>
      <c r="AK43" s="408">
        <f>Inputs_CPs!$N$13</f>
        <v>0.2</v>
      </c>
      <c r="AL43" s="408">
        <f>Inputs_CPs!$O$13</f>
        <v>0.2</v>
      </c>
      <c r="AM43" s="408">
        <f>Inputs_CPs!$K$13</f>
        <v>0.2</v>
      </c>
      <c r="AN43" s="408">
        <f>Inputs_CPs!$L$13</f>
        <v>0.2</v>
      </c>
      <c r="AO43" s="408">
        <f>Inputs_CPs!$M$13</f>
        <v>0.2</v>
      </c>
      <c r="AP43" s="264"/>
      <c r="AQ43" s="264"/>
      <c r="AR43" s="739"/>
      <c r="AS43" s="411"/>
      <c r="AT43" s="264"/>
      <c r="AU43" s="263"/>
      <c r="AV43" s="408">
        <f>Inputs_CPs!$F$13</f>
        <v>0.2</v>
      </c>
      <c r="AW43" s="408">
        <f>Inputs_CPs!$G$13</f>
        <v>0.2</v>
      </c>
      <c r="AX43" s="408">
        <f>Inputs_CPs!$H$13</f>
        <v>0.2</v>
      </c>
      <c r="AY43" s="408">
        <f>Inputs_CPs!$I$13</f>
        <v>0.2</v>
      </c>
      <c r="AZ43" s="408">
        <f>Inputs_CPs!$N$13</f>
        <v>0.2</v>
      </c>
      <c r="BA43" s="408">
        <f>Inputs_CPs!$O$13</f>
        <v>0.2</v>
      </c>
      <c r="BB43" s="408">
        <f>Inputs_CPs!$K$13</f>
        <v>0.2</v>
      </c>
      <c r="BC43" s="408">
        <f>Inputs_CPs!$L$13</f>
        <v>0.2</v>
      </c>
      <c r="BD43" s="408">
        <f>Inputs_CPs!$M$13</f>
        <v>0.2</v>
      </c>
      <c r="BE43" s="264"/>
      <c r="BF43" s="739"/>
      <c r="BG43" s="411"/>
      <c r="BH43" s="264"/>
      <c r="BI43" s="263"/>
      <c r="BJ43" s="408">
        <f>Inputs_CPs!$F$13</f>
        <v>0.2</v>
      </c>
      <c r="BK43" s="408">
        <f>Inputs_CPs!$G$13</f>
        <v>0.2</v>
      </c>
      <c r="BL43" s="408">
        <f>Inputs_CPs!$H$13</f>
        <v>0.2</v>
      </c>
      <c r="BM43" s="408">
        <f>Inputs_CPs!$I$13</f>
        <v>0.2</v>
      </c>
      <c r="BN43" s="408">
        <f>Inputs_CPs!$N$13</f>
        <v>0.2</v>
      </c>
      <c r="BO43" s="408">
        <f>Inputs_CPs!$O$13</f>
        <v>0.2</v>
      </c>
      <c r="BP43" s="408">
        <f>Inputs_CPs!$K$13</f>
        <v>0.2</v>
      </c>
      <c r="BQ43" s="408">
        <f>Inputs_CPs!$L$13</f>
        <v>0.2</v>
      </c>
      <c r="BR43" s="408">
        <f>Inputs_CPs!$M$13</f>
        <v>0.2</v>
      </c>
      <c r="BS43" s="263"/>
    </row>
    <row r="44" spans="1:71" ht="24" customHeight="1" x14ac:dyDescent="0.2">
      <c r="A44" s="312"/>
      <c r="B44" s="401"/>
      <c r="C44" s="157"/>
      <c r="D44" s="461" t="s">
        <v>111</v>
      </c>
      <c r="E44" s="462" t="s">
        <v>146</v>
      </c>
      <c r="F44" s="463" t="s">
        <v>61</v>
      </c>
      <c r="G44" s="464" t="s">
        <v>50</v>
      </c>
      <c r="H44" s="465" t="s">
        <v>152</v>
      </c>
      <c r="I44" s="738" t="s">
        <v>244</v>
      </c>
      <c r="J44" s="453"/>
      <c r="K44" s="408">
        <f>Inputs_Estimates!$E$29</f>
        <v>0.2</v>
      </c>
      <c r="L44" s="408">
        <v>0</v>
      </c>
      <c r="M44" s="466" t="s">
        <v>234</v>
      </c>
      <c r="N44" s="264"/>
      <c r="O44" s="738" t="s">
        <v>392</v>
      </c>
      <c r="P44" s="264"/>
      <c r="Q44" s="264"/>
      <c r="R44" s="264"/>
      <c r="S44" s="410">
        <f t="shared" ref="S44:Y45" si="60">(1+CAPEX_Factor)*((SUMIFS(S$102:S$266,$E$102:$E$266,$E44,$H$102:$H$266,$H44)*(1-$K44))+(SUMIFS(S$271:S$364,$E$271:$E$364,$E44,$H$271:$H$364,$H44)*(1-$L44)))</f>
        <v>19.8</v>
      </c>
      <c r="T44" s="410">
        <f t="shared" si="60"/>
        <v>30.360000000000003</v>
      </c>
      <c r="U44" s="410">
        <f t="shared" si="60"/>
        <v>19.8</v>
      </c>
      <c r="V44" s="410">
        <f t="shared" si="60"/>
        <v>19.8</v>
      </c>
      <c r="W44" s="410">
        <f t="shared" si="60"/>
        <v>0</v>
      </c>
      <c r="X44" s="410">
        <f t="shared" si="60"/>
        <v>0</v>
      </c>
      <c r="Y44" s="410">
        <f t="shared" si="60"/>
        <v>9.9</v>
      </c>
      <c r="Z44" s="410">
        <f>(1+CAPEX_Factor)*((SUMIFS(Z$102:Z$266,$E$102:$E$266,$E44,$H$102:$H$266,$H44)*(1-$K44))+(SUMIFS(Z$271:Z$364,$E$271:$E$364,$E44,$H$271:$H$364,$H44)*(1-$L44)*TierA_TPI_BEefforts))</f>
        <v>0</v>
      </c>
      <c r="AA44" s="410">
        <f>(1+CAPEX_Factor)*((SUMIFS(AA$102:AA$266,$E$102:$E$266,$E44,$H$102:$H$266,$H44)*(1-$K44))+(SUMIFS(AA$271:AA$364,$E$271:$E$364,$E44,$H$271:$H$364,$H44)*(1-$L44)*TierA_TPI_BEefforts))</f>
        <v>9.9</v>
      </c>
      <c r="AB44" s="264"/>
      <c r="AC44" s="738" t="s">
        <v>392</v>
      </c>
      <c r="AD44" s="467"/>
      <c r="AE44" s="264"/>
      <c r="AF44" s="263"/>
      <c r="AG44" s="410">
        <f t="shared" ref="AG44:AM45" si="61">(1+CAPEX_Factor)*((SUMIFS(AG$102:AG$266,$E$102:$E$266,$E44,$H$102:$H$266,$H44)*(1-$K44))+(SUMIFS(AG$271:AG$364,$E$271:$E$364,$E44,$H$271:$H$364,$H44)*(1-$L44)))</f>
        <v>19.8</v>
      </c>
      <c r="AH44" s="410">
        <f t="shared" si="61"/>
        <v>30.360000000000003</v>
      </c>
      <c r="AI44" s="410">
        <f t="shared" si="61"/>
        <v>19.8</v>
      </c>
      <c r="AJ44" s="410">
        <f t="shared" si="61"/>
        <v>19.8</v>
      </c>
      <c r="AK44" s="410">
        <f t="shared" si="61"/>
        <v>0</v>
      </c>
      <c r="AL44" s="410">
        <f t="shared" si="61"/>
        <v>0</v>
      </c>
      <c r="AM44" s="410">
        <f t="shared" si="61"/>
        <v>9.9</v>
      </c>
      <c r="AN44" s="410">
        <f>(1+CAPEX_Factor)*((SUMIFS(AN$102:AN$266,$E$102:$E$266,$E44,$H$102:$H$266,$H44)*(1-$K44))+(SUMIFS(AN$271:AN$364,$E$271:$E$364,$E44,$H$271:$H$364,$H44)*(1-$L44)*TierA_TPI_BEefforts))</f>
        <v>0</v>
      </c>
      <c r="AO44" s="410">
        <f>(1+CAPEX_Factor)*((SUMIFS(AO$102:AO$266,$E$102:$E$266,$E44,$H$102:$H$266,$H44)*(1-$K44))+(SUMIFS(AO$271:AO$364,$E$271:$E$364,$E44,$H$271:$H$364,$H44)*(1-$L44)*TierA_TPI_BEefforts))</f>
        <v>9.9</v>
      </c>
      <c r="AP44" s="264"/>
      <c r="AQ44" s="264"/>
      <c r="AR44" s="738" t="s">
        <v>413</v>
      </c>
      <c r="AS44" s="454"/>
      <c r="AT44" s="264"/>
      <c r="AU44" s="263"/>
      <c r="AV44" s="410">
        <f t="shared" ref="AV44:BB45" si="62">(1+CAPEX_Factor)*((SUMIFS(AV$102:AV$266,$E$102:$E$266,$E44,$H$102:$H$266,$H44)*(1-$K44))+(SUMIFS(AV$271:AV$364,$E$271:$E$364,$E44,$H$271:$H$364,$H44)*(1-$L44)))</f>
        <v>30.360000000000003</v>
      </c>
      <c r="AW44" s="410">
        <f t="shared" si="62"/>
        <v>40.920000000000009</v>
      </c>
      <c r="AX44" s="410">
        <f t="shared" si="62"/>
        <v>30.360000000000003</v>
      </c>
      <c r="AY44" s="410">
        <f t="shared" si="62"/>
        <v>30.360000000000003</v>
      </c>
      <c r="AZ44" s="410">
        <f t="shared" si="62"/>
        <v>0</v>
      </c>
      <c r="BA44" s="410">
        <f t="shared" si="62"/>
        <v>0</v>
      </c>
      <c r="BB44" s="410">
        <f t="shared" si="62"/>
        <v>15.180000000000001</v>
      </c>
      <c r="BC44" s="410">
        <f>(1+CAPEX_Factor)*((SUMIFS(BC$102:BC$266,$E$102:$E$266,$E44,$H$102:$H$266,$H44)*(1-$K44))+(SUMIFS(BC$271:BC$364,$E$271:$E$364,$E44,$H$271:$H$364,$H44)*(1-$L44)*TierA_TPI_BEefforts))</f>
        <v>0</v>
      </c>
      <c r="BD44" s="410">
        <f>(1+CAPEX_Factor)*((SUMIFS(BD$102:BD$266,$E$102:$E$266,$E44,$H$102:$H$266,$H44)*(1-$K44))+(SUMIFS(BD$271:BD$364,$E$271:$E$364,$E44,$H$271:$H$364,$H44)*(1-$L44)*TierA_TPI_BEefforts))</f>
        <v>15.180000000000001</v>
      </c>
      <c r="BE44" s="264"/>
      <c r="BF44" s="738" t="s">
        <v>413</v>
      </c>
      <c r="BG44" s="454"/>
      <c r="BH44" s="264"/>
      <c r="BI44" s="263"/>
      <c r="BJ44" s="410">
        <f t="shared" ref="BJ44:BP45" si="63">(1+CAPEX_Factor)*((SUMIFS(BJ$102:BJ$266,$E$102:$E$266,$E44,$H$102:$H$266,$H44)*(1-$K44))+(SUMIFS(BJ$271:BJ$364,$E$271:$E$364,$E44,$H$271:$H$364,$H44)*(1-$L44)))</f>
        <v>30.360000000000003</v>
      </c>
      <c r="BK44" s="410">
        <f t="shared" si="63"/>
        <v>40.920000000000009</v>
      </c>
      <c r="BL44" s="410">
        <f t="shared" si="63"/>
        <v>30.360000000000003</v>
      </c>
      <c r="BM44" s="410">
        <f t="shared" si="63"/>
        <v>30.360000000000003</v>
      </c>
      <c r="BN44" s="410">
        <f t="shared" si="63"/>
        <v>0</v>
      </c>
      <c r="BO44" s="410">
        <f t="shared" si="63"/>
        <v>0</v>
      </c>
      <c r="BP44" s="410">
        <f t="shared" si="63"/>
        <v>15.180000000000001</v>
      </c>
      <c r="BQ44" s="410">
        <f>(1+CAPEX_Factor)*((SUMIFS(BQ$102:BQ$266,$E$102:$E$266,$E44,$H$102:$H$266,$H44)*(1-$K44))+(SUMIFS(BQ$271:BQ$364,$E$271:$E$364,$E44,$H$271:$H$364,$H44)*(1-$L44)*TierA_TPI_BEefforts))</f>
        <v>0</v>
      </c>
      <c r="BR44" s="410">
        <f>(1+CAPEX_Factor)*((SUMIFS(BR$102:BR$266,$E$102:$E$266,$E44,$H$102:$H$266,$H44)*(1-$K44))+(SUMIFS(BR$271:BR$364,$E$271:$E$364,$E44,$H$271:$H$364,$H44)*(1-$L44)*TierA_TPI_BEefforts))</f>
        <v>15.180000000000001</v>
      </c>
      <c r="BS44" s="263"/>
    </row>
    <row r="45" spans="1:71" ht="24" customHeight="1" x14ac:dyDescent="0.2">
      <c r="A45" s="312"/>
      <c r="B45" s="401"/>
      <c r="C45" s="157"/>
      <c r="D45" s="461" t="s">
        <v>111</v>
      </c>
      <c r="E45" s="462" t="s">
        <v>146</v>
      </c>
      <c r="F45" s="463" t="s">
        <v>30</v>
      </c>
      <c r="G45" s="468" t="s">
        <v>50</v>
      </c>
      <c r="H45" s="465" t="s">
        <v>119</v>
      </c>
      <c r="I45" s="738"/>
      <c r="J45" s="453"/>
      <c r="K45" s="408">
        <v>0</v>
      </c>
      <c r="L45" s="408">
        <v>0</v>
      </c>
      <c r="M45" s="466" t="s">
        <v>234</v>
      </c>
      <c r="N45" s="264"/>
      <c r="O45" s="738"/>
      <c r="P45" s="264"/>
      <c r="Q45" s="264"/>
      <c r="R45" s="264"/>
      <c r="S45" s="410">
        <f t="shared" si="60"/>
        <v>0</v>
      </c>
      <c r="T45" s="410">
        <f t="shared" si="60"/>
        <v>10000</v>
      </c>
      <c r="U45" s="410">
        <f t="shared" si="60"/>
        <v>0</v>
      </c>
      <c r="V45" s="410">
        <f t="shared" si="60"/>
        <v>0</v>
      </c>
      <c r="W45" s="410">
        <f t="shared" si="60"/>
        <v>0</v>
      </c>
      <c r="X45" s="410">
        <f t="shared" si="60"/>
        <v>0</v>
      </c>
      <c r="Y45" s="410">
        <f t="shared" si="60"/>
        <v>0</v>
      </c>
      <c r="Z45" s="410">
        <f>(1+CAPEX_Factor)*((SUMIFS(Z$102:Z$266,$E$102:$E$266,$E45,$H$102:$H$266,$H45)*(1-$K45))+(SUMIFS(Z$271:Z$364,$E$271:$E$364,$E45,$H$271:$H$364,$H45)*(1-$L45)*TierA_TPI_BEefforts))</f>
        <v>0</v>
      </c>
      <c r="AA45" s="410">
        <f>(1+CAPEX_Factor)*((SUMIFS(AA$102:AA$266,$E$102:$E$266,$E45,$H$102:$H$266,$H45)*(1-$K45))+(SUMIFS(AA$271:AA$364,$E$271:$E$364,$E45,$H$271:$H$364,$H45)*(1-$L45)*TierA_TPI_BEefforts))</f>
        <v>0</v>
      </c>
      <c r="AB45" s="264"/>
      <c r="AC45" s="738"/>
      <c r="AD45" s="467"/>
      <c r="AE45" s="264"/>
      <c r="AF45" s="263"/>
      <c r="AG45" s="410">
        <f t="shared" si="61"/>
        <v>0</v>
      </c>
      <c r="AH45" s="410">
        <f t="shared" si="61"/>
        <v>10000</v>
      </c>
      <c r="AI45" s="410">
        <f t="shared" si="61"/>
        <v>0</v>
      </c>
      <c r="AJ45" s="410">
        <f t="shared" si="61"/>
        <v>0</v>
      </c>
      <c r="AK45" s="410">
        <f t="shared" si="61"/>
        <v>0</v>
      </c>
      <c r="AL45" s="410">
        <f t="shared" si="61"/>
        <v>0</v>
      </c>
      <c r="AM45" s="410">
        <f t="shared" si="61"/>
        <v>0</v>
      </c>
      <c r="AN45" s="410">
        <f>(1+CAPEX_Factor)*((SUMIFS(AN$102:AN$266,$E$102:$E$266,$E45,$H$102:$H$266,$H45)*(1-$K45))+(SUMIFS(AN$271:AN$364,$E$271:$E$364,$E45,$H$271:$H$364,$H45)*(1-$L45)*TierA_TPI_BEefforts))</f>
        <v>0</v>
      </c>
      <c r="AO45" s="410">
        <f>(1+CAPEX_Factor)*((SUMIFS(AO$102:AO$266,$E$102:$E$266,$E45,$H$102:$H$266,$H45)*(1-$K45))+(SUMIFS(AO$271:AO$364,$E$271:$E$364,$E45,$H$271:$H$364,$H45)*(1-$L45)*TierA_TPI_BEefforts))</f>
        <v>0</v>
      </c>
      <c r="AP45" s="264"/>
      <c r="AQ45" s="264"/>
      <c r="AR45" s="738"/>
      <c r="AS45" s="454"/>
      <c r="AT45" s="264"/>
      <c r="AU45" s="263"/>
      <c r="AV45" s="410">
        <f t="shared" si="62"/>
        <v>0</v>
      </c>
      <c r="AW45" s="410">
        <f t="shared" si="62"/>
        <v>10000</v>
      </c>
      <c r="AX45" s="410">
        <f t="shared" si="62"/>
        <v>0</v>
      </c>
      <c r="AY45" s="410">
        <f t="shared" si="62"/>
        <v>0</v>
      </c>
      <c r="AZ45" s="410">
        <f t="shared" si="62"/>
        <v>0</v>
      </c>
      <c r="BA45" s="410">
        <f t="shared" si="62"/>
        <v>0</v>
      </c>
      <c r="BB45" s="410">
        <f t="shared" si="62"/>
        <v>0</v>
      </c>
      <c r="BC45" s="410">
        <f>(1+CAPEX_Factor)*((SUMIFS(BC$102:BC$266,$E$102:$E$266,$E45,$H$102:$H$266,$H45)*(1-$K45))+(SUMIFS(BC$271:BC$364,$E$271:$E$364,$E45,$H$271:$H$364,$H45)*(1-$L45)*TierA_TPI_BEefforts))</f>
        <v>0</v>
      </c>
      <c r="BD45" s="410">
        <f>(1+CAPEX_Factor)*((SUMIFS(BD$102:BD$266,$E$102:$E$266,$E45,$H$102:$H$266,$H45)*(1-$K45))+(SUMIFS(BD$271:BD$364,$E$271:$E$364,$E45,$H$271:$H$364,$H45)*(1-$L45)*TierA_TPI_BEefforts))</f>
        <v>0</v>
      </c>
      <c r="BE45" s="264"/>
      <c r="BF45" s="738"/>
      <c r="BG45" s="454"/>
      <c r="BH45" s="264"/>
      <c r="BI45" s="263"/>
      <c r="BJ45" s="410">
        <f t="shared" si="63"/>
        <v>0</v>
      </c>
      <c r="BK45" s="410">
        <f t="shared" si="63"/>
        <v>10000</v>
      </c>
      <c r="BL45" s="410">
        <f t="shared" si="63"/>
        <v>0</v>
      </c>
      <c r="BM45" s="410">
        <f t="shared" si="63"/>
        <v>0</v>
      </c>
      <c r="BN45" s="410">
        <f t="shared" si="63"/>
        <v>0</v>
      </c>
      <c r="BO45" s="410">
        <f t="shared" si="63"/>
        <v>0</v>
      </c>
      <c r="BP45" s="410">
        <f t="shared" si="63"/>
        <v>0</v>
      </c>
      <c r="BQ45" s="410">
        <f>(1+CAPEX_Factor)*((SUMIFS(BQ$102:BQ$266,$E$102:$E$266,$E45,$H$102:$H$266,$H45)*(1-$K45))+(SUMIFS(BQ$271:BQ$364,$E$271:$E$364,$E45,$H$271:$H$364,$H45)*(1-$L45)*TierA_TPI_BEefforts))</f>
        <v>0</v>
      </c>
      <c r="BR45" s="410">
        <f>(1+CAPEX_Factor)*((SUMIFS(BR$102:BR$266,$E$102:$E$266,$E45,$H$102:$H$266,$H45)*(1-$K45))+(SUMIFS(BR$271:BR$364,$E$271:$E$364,$E45,$H$271:$H$364,$H45)*(1-$L45)*TierA_TPI_BEefforts))</f>
        <v>0</v>
      </c>
      <c r="BS45" s="263"/>
    </row>
    <row r="46" spans="1:71" ht="24" customHeight="1" x14ac:dyDescent="0.2">
      <c r="A46" s="312"/>
      <c r="B46" s="401"/>
      <c r="C46" s="157"/>
      <c r="D46" s="461" t="s">
        <v>111</v>
      </c>
      <c r="E46" s="462" t="s">
        <v>146</v>
      </c>
      <c r="F46" s="469" t="s">
        <v>49</v>
      </c>
      <c r="G46" s="468" t="s">
        <v>47</v>
      </c>
      <c r="H46" s="465" t="s">
        <v>120</v>
      </c>
      <c r="I46" s="738"/>
      <c r="J46" s="453"/>
      <c r="K46" s="408" t="s">
        <v>58</v>
      </c>
      <c r="L46" s="408" t="s">
        <v>58</v>
      </c>
      <c r="M46" s="466"/>
      <c r="N46" s="264"/>
      <c r="O46" s="738"/>
      <c r="P46" s="264"/>
      <c r="Q46" s="264"/>
      <c r="R46" s="264"/>
      <c r="S46" s="408">
        <f>Inputs_CPs!$F$13</f>
        <v>0.2</v>
      </c>
      <c r="T46" s="408">
        <f>Inputs_CPs!$G$13</f>
        <v>0.2</v>
      </c>
      <c r="U46" s="408">
        <f>Inputs_CPs!$H$13</f>
        <v>0.2</v>
      </c>
      <c r="V46" s="408">
        <f>Inputs_CPs!$I$13</f>
        <v>0.2</v>
      </c>
      <c r="W46" s="408">
        <f>Inputs_CPs!$N$13</f>
        <v>0.2</v>
      </c>
      <c r="X46" s="408">
        <f>Inputs_CPs!$O$13</f>
        <v>0.2</v>
      </c>
      <c r="Y46" s="408">
        <f>Inputs_CPs!$K$13</f>
        <v>0.2</v>
      </c>
      <c r="Z46" s="408">
        <f>Inputs_CPs!$L$13</f>
        <v>0.2</v>
      </c>
      <c r="AA46" s="408">
        <f>Inputs_CPs!$M$13</f>
        <v>0.2</v>
      </c>
      <c r="AB46" s="264"/>
      <c r="AC46" s="738"/>
      <c r="AD46" s="467"/>
      <c r="AE46" s="264"/>
      <c r="AF46" s="263"/>
      <c r="AG46" s="408">
        <f>Inputs_CPs!$F$13</f>
        <v>0.2</v>
      </c>
      <c r="AH46" s="408">
        <f>Inputs_CPs!$G$13</f>
        <v>0.2</v>
      </c>
      <c r="AI46" s="408">
        <f>Inputs_CPs!$H$13</f>
        <v>0.2</v>
      </c>
      <c r="AJ46" s="408">
        <f>Inputs_CPs!$I$13</f>
        <v>0.2</v>
      </c>
      <c r="AK46" s="408">
        <f>Inputs_CPs!$N$13</f>
        <v>0.2</v>
      </c>
      <c r="AL46" s="408">
        <f>Inputs_CPs!$O$13</f>
        <v>0.2</v>
      </c>
      <c r="AM46" s="408">
        <f>Inputs_CPs!$K$13</f>
        <v>0.2</v>
      </c>
      <c r="AN46" s="408">
        <f>Inputs_CPs!$L$13</f>
        <v>0.2</v>
      </c>
      <c r="AO46" s="408">
        <f>Inputs_CPs!$M$13</f>
        <v>0.2</v>
      </c>
      <c r="AP46" s="264"/>
      <c r="AQ46" s="264"/>
      <c r="AR46" s="738"/>
      <c r="AS46" s="454"/>
      <c r="AT46" s="264"/>
      <c r="AU46" s="263"/>
      <c r="AV46" s="408">
        <f>Inputs_CPs!$F$13</f>
        <v>0.2</v>
      </c>
      <c r="AW46" s="408">
        <f>Inputs_CPs!$G$13</f>
        <v>0.2</v>
      </c>
      <c r="AX46" s="408">
        <f>Inputs_CPs!$H$13</f>
        <v>0.2</v>
      </c>
      <c r="AY46" s="408">
        <f>Inputs_CPs!$I$13</f>
        <v>0.2</v>
      </c>
      <c r="AZ46" s="408">
        <f>Inputs_CPs!$N$13</f>
        <v>0.2</v>
      </c>
      <c r="BA46" s="408">
        <f>Inputs_CPs!$O$13</f>
        <v>0.2</v>
      </c>
      <c r="BB46" s="408">
        <f>Inputs_CPs!$K$13</f>
        <v>0.2</v>
      </c>
      <c r="BC46" s="408">
        <f>Inputs_CPs!$L$13</f>
        <v>0.2</v>
      </c>
      <c r="BD46" s="408">
        <f>Inputs_CPs!$M$13</f>
        <v>0.2</v>
      </c>
      <c r="BE46" s="264"/>
      <c r="BF46" s="738"/>
      <c r="BG46" s="454"/>
      <c r="BH46" s="264"/>
      <c r="BI46" s="263"/>
      <c r="BJ46" s="408">
        <f>Inputs_CPs!$F$13</f>
        <v>0.2</v>
      </c>
      <c r="BK46" s="408">
        <f>Inputs_CPs!$G$13</f>
        <v>0.2</v>
      </c>
      <c r="BL46" s="408">
        <f>Inputs_CPs!$H$13</f>
        <v>0.2</v>
      </c>
      <c r="BM46" s="408">
        <f>Inputs_CPs!$I$13</f>
        <v>0.2</v>
      </c>
      <c r="BN46" s="408">
        <f>Inputs_CPs!$N$13</f>
        <v>0.2</v>
      </c>
      <c r="BO46" s="408">
        <f>Inputs_CPs!$O$13</f>
        <v>0.2</v>
      </c>
      <c r="BP46" s="408">
        <f>Inputs_CPs!$K$13</f>
        <v>0.2</v>
      </c>
      <c r="BQ46" s="408">
        <f>Inputs_CPs!$L$13</f>
        <v>0.2</v>
      </c>
      <c r="BR46" s="408">
        <f>Inputs_CPs!$M$13</f>
        <v>0.2</v>
      </c>
      <c r="BS46" s="263"/>
    </row>
    <row r="47" spans="1:71" ht="24" customHeight="1" x14ac:dyDescent="0.2">
      <c r="A47" s="312"/>
      <c r="B47" s="401"/>
      <c r="C47" s="157"/>
      <c r="D47" s="455" t="s">
        <v>111</v>
      </c>
      <c r="E47" s="456" t="s">
        <v>141</v>
      </c>
      <c r="F47" s="457" t="s">
        <v>61</v>
      </c>
      <c r="G47" s="470" t="s">
        <v>50</v>
      </c>
      <c r="H47" s="459" t="s">
        <v>152</v>
      </c>
      <c r="I47" s="739" t="s">
        <v>245</v>
      </c>
      <c r="J47" s="453"/>
      <c r="K47" s="408">
        <f>Inputs_Estimates!$E$29</f>
        <v>0.2</v>
      </c>
      <c r="L47" s="408">
        <v>0</v>
      </c>
      <c r="M47" s="439" t="s">
        <v>421</v>
      </c>
      <c r="N47" s="264"/>
      <c r="O47" s="739" t="s">
        <v>391</v>
      </c>
      <c r="P47" s="264"/>
      <c r="Q47" s="264"/>
      <c r="R47" s="264"/>
      <c r="S47" s="410">
        <f t="shared" ref="S47:Y48" si="64">(1+CAPEX_Factor)*((SUMIFS(S$102:S$266,$E$102:$E$266,$E47,$H$102:$H$266,$H47)*(1-$K47))+(SUMIFS(S$271:S$364,$E$271:$E$364,$E47,$H$271:$H$364,$H47)*(1-$L47)))</f>
        <v>85.8</v>
      </c>
      <c r="T47" s="410">
        <f t="shared" si="64"/>
        <v>96.36</v>
      </c>
      <c r="U47" s="410">
        <f t="shared" si="64"/>
        <v>85.8</v>
      </c>
      <c r="V47" s="410">
        <f t="shared" si="64"/>
        <v>85.8</v>
      </c>
      <c r="W47" s="410">
        <f t="shared" si="64"/>
        <v>0</v>
      </c>
      <c r="X47" s="410">
        <f t="shared" si="64"/>
        <v>0</v>
      </c>
      <c r="Y47" s="410">
        <f t="shared" si="64"/>
        <v>42.9</v>
      </c>
      <c r="Z47" s="410">
        <f>(1+CAPEX_Factor)*((SUMIFS(Z$102:Z$266,$E$102:$E$266,$E47,$H$102:$H$266,$H47)*(1-$K47))+(SUMIFS(Z$271:Z$364,$E$271:$E$364,$E47,$H$271:$H$364,$H47)*(1-$L47)*TierA_TPI_BEefforts))</f>
        <v>0</v>
      </c>
      <c r="AA47" s="410">
        <f>(1+CAPEX_Factor)*((SUMIFS(AA$102:AA$266,$E$102:$E$266,$E47,$H$102:$H$266,$H47)*(1-$K47))+(SUMIFS(AA$271:AA$364,$E$271:$E$364,$E47,$H$271:$H$364,$H47)*(1-$L47)*TierA_TPI_BEefforts))</f>
        <v>42.9</v>
      </c>
      <c r="AB47" s="264"/>
      <c r="AC47" s="739" t="s">
        <v>391</v>
      </c>
      <c r="AD47" s="467"/>
      <c r="AE47" s="264"/>
      <c r="AF47" s="263"/>
      <c r="AG47" s="410">
        <f t="shared" ref="AG47:AM48" si="65">(1+CAPEX_Factor)*((SUMIFS(AG$102:AG$266,$E$102:$E$266,$E47,$H$102:$H$266,$H47)*(1-$K47))+(SUMIFS(AG$271:AG$364,$E$271:$E$364,$E47,$H$271:$H$364,$H47)*(1-$L47)))</f>
        <v>85.8</v>
      </c>
      <c r="AH47" s="410">
        <f t="shared" si="65"/>
        <v>96.36</v>
      </c>
      <c r="AI47" s="410">
        <f t="shared" si="65"/>
        <v>85.8</v>
      </c>
      <c r="AJ47" s="410">
        <f t="shared" si="65"/>
        <v>85.8</v>
      </c>
      <c r="AK47" s="410">
        <f t="shared" si="65"/>
        <v>0</v>
      </c>
      <c r="AL47" s="410">
        <f t="shared" si="65"/>
        <v>0</v>
      </c>
      <c r="AM47" s="410">
        <f t="shared" si="65"/>
        <v>42.9</v>
      </c>
      <c r="AN47" s="410">
        <f>(1+CAPEX_Factor)*((SUMIFS(AN$102:AN$266,$E$102:$E$266,$E47,$H$102:$H$266,$H47)*(1-$K47))+(SUMIFS(AN$271:AN$364,$E$271:$E$364,$E47,$H$271:$H$364,$H47)*(1-$L47)*TierA_TPI_BEefforts))</f>
        <v>0</v>
      </c>
      <c r="AO47" s="410">
        <f>(1+CAPEX_Factor)*((SUMIFS(AO$102:AO$266,$E$102:$E$266,$E47,$H$102:$H$266,$H47)*(1-$K47))+(SUMIFS(AO$271:AO$364,$E$271:$E$364,$E47,$H$271:$H$364,$H47)*(1-$L47)*TierA_TPI_BEefforts))</f>
        <v>42.9</v>
      </c>
      <c r="AP47" s="264"/>
      <c r="AQ47" s="264"/>
      <c r="AR47" s="739" t="s">
        <v>391</v>
      </c>
      <c r="AS47" s="411"/>
      <c r="AT47" s="264"/>
      <c r="AU47" s="263"/>
      <c r="AV47" s="410">
        <f t="shared" ref="AV47:BB48" si="66">(1+CAPEX_Factor)*((SUMIFS(AV$102:AV$266,$E$102:$E$266,$E47,$H$102:$H$266,$H47)*(1-$K47))+(SUMIFS(AV$271:AV$364,$E$271:$E$364,$E47,$H$271:$H$364,$H47)*(1-$L47)))</f>
        <v>85.8</v>
      </c>
      <c r="AW47" s="410">
        <f t="shared" si="66"/>
        <v>96.36</v>
      </c>
      <c r="AX47" s="410">
        <f t="shared" si="66"/>
        <v>85.8</v>
      </c>
      <c r="AY47" s="410">
        <f t="shared" si="66"/>
        <v>85.8</v>
      </c>
      <c r="AZ47" s="410">
        <f t="shared" si="66"/>
        <v>0</v>
      </c>
      <c r="BA47" s="410">
        <f t="shared" si="66"/>
        <v>0</v>
      </c>
      <c r="BB47" s="410">
        <f t="shared" si="66"/>
        <v>42.9</v>
      </c>
      <c r="BC47" s="410">
        <f>(1+CAPEX_Factor)*((SUMIFS(BC$102:BC$266,$E$102:$E$266,$E47,$H$102:$H$266,$H47)*(1-$K47))+(SUMIFS(BC$271:BC$364,$E$271:$E$364,$E47,$H$271:$H$364,$H47)*(1-$L47)*TierA_TPI_BEefforts))</f>
        <v>0</v>
      </c>
      <c r="BD47" s="410">
        <f>(1+CAPEX_Factor)*((SUMIFS(BD$102:BD$266,$E$102:$E$266,$E47,$H$102:$H$266,$H47)*(1-$K47))+(SUMIFS(BD$271:BD$364,$E$271:$E$364,$E47,$H$271:$H$364,$H47)*(1-$L47)*TierA_TPI_BEefforts))</f>
        <v>42.9</v>
      </c>
      <c r="BE47" s="264"/>
      <c r="BF47" s="739" t="s">
        <v>391</v>
      </c>
      <c r="BG47" s="411"/>
      <c r="BH47" s="264"/>
      <c r="BI47" s="263"/>
      <c r="BJ47" s="410">
        <f t="shared" ref="BJ47:BP48" si="67">(1+CAPEX_Factor)*((SUMIFS(BJ$102:BJ$266,$E$102:$E$266,$E47,$H$102:$H$266,$H47)*(1-$K47))+(SUMIFS(BJ$271:BJ$364,$E$271:$E$364,$E47,$H$271:$H$364,$H47)*(1-$L47)))</f>
        <v>85.8</v>
      </c>
      <c r="BK47" s="410">
        <f t="shared" si="67"/>
        <v>96.36</v>
      </c>
      <c r="BL47" s="410">
        <f t="shared" si="67"/>
        <v>85.8</v>
      </c>
      <c r="BM47" s="410">
        <f t="shared" si="67"/>
        <v>85.8</v>
      </c>
      <c r="BN47" s="410">
        <f t="shared" si="67"/>
        <v>0</v>
      </c>
      <c r="BO47" s="410">
        <f t="shared" si="67"/>
        <v>0</v>
      </c>
      <c r="BP47" s="410">
        <f t="shared" si="67"/>
        <v>42.9</v>
      </c>
      <c r="BQ47" s="410">
        <f>(1+CAPEX_Factor)*((SUMIFS(BQ$102:BQ$266,$E$102:$E$266,$E47,$H$102:$H$266,$H47)*(1-$K47))+(SUMIFS(BQ$271:BQ$364,$E$271:$E$364,$E47,$H$271:$H$364,$H47)*(1-$L47)*TierA_TPI_BEefforts))</f>
        <v>0</v>
      </c>
      <c r="BR47" s="410">
        <f>(1+CAPEX_Factor)*((SUMIFS(BR$102:BR$266,$E$102:$E$266,$E47,$H$102:$H$266,$H47)*(1-$K47))+(SUMIFS(BR$271:BR$364,$E$271:$E$364,$E47,$H$271:$H$364,$H47)*(1-$L47)*TierA_TPI_BEefforts))</f>
        <v>42.9</v>
      </c>
      <c r="BS47" s="263"/>
    </row>
    <row r="48" spans="1:71" ht="24" customHeight="1" x14ac:dyDescent="0.2">
      <c r="A48" s="312"/>
      <c r="B48" s="401"/>
      <c r="C48" s="157"/>
      <c r="D48" s="455" t="s">
        <v>111</v>
      </c>
      <c r="E48" s="456" t="s">
        <v>141</v>
      </c>
      <c r="F48" s="457" t="s">
        <v>30</v>
      </c>
      <c r="G48" s="458" t="s">
        <v>50</v>
      </c>
      <c r="H48" s="459" t="s">
        <v>119</v>
      </c>
      <c r="I48" s="739"/>
      <c r="J48" s="453"/>
      <c r="K48" s="408">
        <v>0</v>
      </c>
      <c r="L48" s="408">
        <v>0</v>
      </c>
      <c r="M48" s="439" t="s">
        <v>421</v>
      </c>
      <c r="N48" s="264"/>
      <c r="O48" s="739"/>
      <c r="P48" s="264"/>
      <c r="Q48" s="264"/>
      <c r="R48" s="264"/>
      <c r="S48" s="410">
        <f t="shared" si="64"/>
        <v>0</v>
      </c>
      <c r="T48" s="410">
        <f t="shared" si="64"/>
        <v>10000</v>
      </c>
      <c r="U48" s="410">
        <f t="shared" si="64"/>
        <v>0</v>
      </c>
      <c r="V48" s="410">
        <f t="shared" si="64"/>
        <v>0</v>
      </c>
      <c r="W48" s="410">
        <f t="shared" si="64"/>
        <v>0</v>
      </c>
      <c r="X48" s="410">
        <f t="shared" si="64"/>
        <v>0</v>
      </c>
      <c r="Y48" s="410">
        <f t="shared" si="64"/>
        <v>0</v>
      </c>
      <c r="Z48" s="410">
        <f>(1+CAPEX_Factor)*((SUMIFS(Z$102:Z$266,$E$102:$E$266,$E48,$H$102:$H$266,$H48)*(1-$K48))+(SUMIFS(Z$271:Z$364,$E$271:$E$364,$E48,$H$271:$H$364,$H48)*(1-$L48)*TierA_TPI_BEefforts))</f>
        <v>0</v>
      </c>
      <c r="AA48" s="410">
        <f>(1+CAPEX_Factor)*((SUMIFS(AA$102:AA$266,$E$102:$E$266,$E48,$H$102:$H$266,$H48)*(1-$K48))+(SUMIFS(AA$271:AA$364,$E$271:$E$364,$E48,$H$271:$H$364,$H48)*(1-$L48)*TierA_TPI_BEefforts))</f>
        <v>0</v>
      </c>
      <c r="AB48" s="264"/>
      <c r="AC48" s="739"/>
      <c r="AD48" s="467"/>
      <c r="AE48" s="264"/>
      <c r="AF48" s="263"/>
      <c r="AG48" s="410">
        <f t="shared" si="65"/>
        <v>0</v>
      </c>
      <c r="AH48" s="410">
        <f t="shared" si="65"/>
        <v>10000</v>
      </c>
      <c r="AI48" s="410">
        <f t="shared" si="65"/>
        <v>0</v>
      </c>
      <c r="AJ48" s="410">
        <f t="shared" si="65"/>
        <v>0</v>
      </c>
      <c r="AK48" s="410">
        <f t="shared" si="65"/>
        <v>0</v>
      </c>
      <c r="AL48" s="410">
        <f t="shared" si="65"/>
        <v>0</v>
      </c>
      <c r="AM48" s="410">
        <f t="shared" si="65"/>
        <v>0</v>
      </c>
      <c r="AN48" s="410">
        <f>(1+CAPEX_Factor)*((SUMIFS(AN$102:AN$266,$E$102:$E$266,$E48,$H$102:$H$266,$H48)*(1-$K48))+(SUMIFS(AN$271:AN$364,$E$271:$E$364,$E48,$H$271:$H$364,$H48)*(1-$L48)*TierA_TPI_BEefforts))</f>
        <v>0</v>
      </c>
      <c r="AO48" s="410">
        <f>(1+CAPEX_Factor)*((SUMIFS(AO$102:AO$266,$E$102:$E$266,$E48,$H$102:$H$266,$H48)*(1-$K48))+(SUMIFS(AO$271:AO$364,$E$271:$E$364,$E48,$H$271:$H$364,$H48)*(1-$L48)*TierA_TPI_BEefforts))</f>
        <v>0</v>
      </c>
      <c r="AP48" s="264"/>
      <c r="AQ48" s="264"/>
      <c r="AR48" s="739"/>
      <c r="AS48" s="411"/>
      <c r="AT48" s="264"/>
      <c r="AU48" s="263"/>
      <c r="AV48" s="410">
        <f t="shared" si="66"/>
        <v>0</v>
      </c>
      <c r="AW48" s="410">
        <f t="shared" si="66"/>
        <v>10000</v>
      </c>
      <c r="AX48" s="410">
        <f t="shared" si="66"/>
        <v>0</v>
      </c>
      <c r="AY48" s="410">
        <f t="shared" si="66"/>
        <v>0</v>
      </c>
      <c r="AZ48" s="410">
        <f t="shared" si="66"/>
        <v>0</v>
      </c>
      <c r="BA48" s="410">
        <f t="shared" si="66"/>
        <v>0</v>
      </c>
      <c r="BB48" s="410">
        <f t="shared" si="66"/>
        <v>0</v>
      </c>
      <c r="BC48" s="410">
        <f>(1+CAPEX_Factor)*((SUMIFS(BC$102:BC$266,$E$102:$E$266,$E48,$H$102:$H$266,$H48)*(1-$K48))+(SUMIFS(BC$271:BC$364,$E$271:$E$364,$E48,$H$271:$H$364,$H48)*(1-$L48)*TierA_TPI_BEefforts))</f>
        <v>0</v>
      </c>
      <c r="BD48" s="410">
        <f>(1+CAPEX_Factor)*((SUMIFS(BD$102:BD$266,$E$102:$E$266,$E48,$H$102:$H$266,$H48)*(1-$K48))+(SUMIFS(BD$271:BD$364,$E$271:$E$364,$E48,$H$271:$H$364,$H48)*(1-$L48)*TierA_TPI_BEefforts))</f>
        <v>0</v>
      </c>
      <c r="BE48" s="264"/>
      <c r="BF48" s="739"/>
      <c r="BG48" s="411"/>
      <c r="BH48" s="264"/>
      <c r="BI48" s="263"/>
      <c r="BJ48" s="410">
        <f t="shared" si="67"/>
        <v>0</v>
      </c>
      <c r="BK48" s="410">
        <f t="shared" si="67"/>
        <v>10000</v>
      </c>
      <c r="BL48" s="410">
        <f t="shared" si="67"/>
        <v>0</v>
      </c>
      <c r="BM48" s="410">
        <f t="shared" si="67"/>
        <v>0</v>
      </c>
      <c r="BN48" s="410">
        <f t="shared" si="67"/>
        <v>0</v>
      </c>
      <c r="BO48" s="410">
        <f t="shared" si="67"/>
        <v>0</v>
      </c>
      <c r="BP48" s="410">
        <f t="shared" si="67"/>
        <v>0</v>
      </c>
      <c r="BQ48" s="410">
        <f>(1+CAPEX_Factor)*((SUMIFS(BQ$102:BQ$266,$E$102:$E$266,$E48,$H$102:$H$266,$H48)*(1-$K48))+(SUMIFS(BQ$271:BQ$364,$E$271:$E$364,$E48,$H$271:$H$364,$H48)*(1-$L48)*TierA_TPI_BEefforts))</f>
        <v>0</v>
      </c>
      <c r="BR48" s="410">
        <f>(1+CAPEX_Factor)*((SUMIFS(BR$102:BR$266,$E$102:$E$266,$E48,$H$102:$H$266,$H48)*(1-$K48))+(SUMIFS(BR$271:BR$364,$E$271:$E$364,$E48,$H$271:$H$364,$H48)*(1-$L48)*TierA_TPI_BEefforts))</f>
        <v>0</v>
      </c>
      <c r="BS48" s="263"/>
    </row>
    <row r="49" spans="1:71" ht="24" customHeight="1" x14ac:dyDescent="0.2">
      <c r="A49" s="312"/>
      <c r="B49" s="401"/>
      <c r="C49" s="157"/>
      <c r="D49" s="455" t="s">
        <v>111</v>
      </c>
      <c r="E49" s="456" t="s">
        <v>141</v>
      </c>
      <c r="F49" s="460" t="s">
        <v>49</v>
      </c>
      <c r="G49" s="458" t="s">
        <v>47</v>
      </c>
      <c r="H49" s="459" t="s">
        <v>120</v>
      </c>
      <c r="I49" s="739"/>
      <c r="J49" s="453"/>
      <c r="K49" s="408" t="s">
        <v>58</v>
      </c>
      <c r="L49" s="408" t="s">
        <v>58</v>
      </c>
      <c r="M49" s="439"/>
      <c r="N49" s="264"/>
      <c r="O49" s="739"/>
      <c r="P49" s="264"/>
      <c r="Q49" s="264"/>
      <c r="R49" s="264"/>
      <c r="S49" s="408">
        <f>Inputs_CPs!$F$13</f>
        <v>0.2</v>
      </c>
      <c r="T49" s="408">
        <f>Inputs_CPs!$G$13</f>
        <v>0.2</v>
      </c>
      <c r="U49" s="408">
        <f>Inputs_CPs!$H$13</f>
        <v>0.2</v>
      </c>
      <c r="V49" s="408">
        <f>Inputs_CPs!$I$13</f>
        <v>0.2</v>
      </c>
      <c r="W49" s="408">
        <f>Inputs_CPs!$N$13</f>
        <v>0.2</v>
      </c>
      <c r="X49" s="408">
        <f>Inputs_CPs!$O$13</f>
        <v>0.2</v>
      </c>
      <c r="Y49" s="408">
        <f>Inputs_CPs!$K$13</f>
        <v>0.2</v>
      </c>
      <c r="Z49" s="408">
        <f>Inputs_CPs!$L$13</f>
        <v>0.2</v>
      </c>
      <c r="AA49" s="408">
        <f>Inputs_CPs!$M$13</f>
        <v>0.2</v>
      </c>
      <c r="AB49" s="264"/>
      <c r="AC49" s="739"/>
      <c r="AD49" s="467"/>
      <c r="AE49" s="264"/>
      <c r="AF49" s="263"/>
      <c r="AG49" s="408">
        <f>Inputs_CPs!$F$13</f>
        <v>0.2</v>
      </c>
      <c r="AH49" s="408">
        <f>Inputs_CPs!$G$13</f>
        <v>0.2</v>
      </c>
      <c r="AI49" s="408">
        <f>Inputs_CPs!$H$13</f>
        <v>0.2</v>
      </c>
      <c r="AJ49" s="408">
        <f>Inputs_CPs!$I$13</f>
        <v>0.2</v>
      </c>
      <c r="AK49" s="408">
        <f>Inputs_CPs!$N$13</f>
        <v>0.2</v>
      </c>
      <c r="AL49" s="408">
        <f>Inputs_CPs!$O$13</f>
        <v>0.2</v>
      </c>
      <c r="AM49" s="408">
        <f>Inputs_CPs!$K$13</f>
        <v>0.2</v>
      </c>
      <c r="AN49" s="408">
        <f>Inputs_CPs!$L$13</f>
        <v>0.2</v>
      </c>
      <c r="AO49" s="408">
        <f>Inputs_CPs!$M$13</f>
        <v>0.2</v>
      </c>
      <c r="AP49" s="264"/>
      <c r="AQ49" s="264"/>
      <c r="AR49" s="739"/>
      <c r="AS49" s="411"/>
      <c r="AT49" s="264"/>
      <c r="AU49" s="263"/>
      <c r="AV49" s="408">
        <f>Inputs_CPs!$F$13</f>
        <v>0.2</v>
      </c>
      <c r="AW49" s="408">
        <f>Inputs_CPs!$G$13</f>
        <v>0.2</v>
      </c>
      <c r="AX49" s="408">
        <f>Inputs_CPs!$H$13</f>
        <v>0.2</v>
      </c>
      <c r="AY49" s="408">
        <f>Inputs_CPs!$I$13</f>
        <v>0.2</v>
      </c>
      <c r="AZ49" s="408">
        <f>Inputs_CPs!$N$13</f>
        <v>0.2</v>
      </c>
      <c r="BA49" s="408">
        <f>Inputs_CPs!$O$13</f>
        <v>0.2</v>
      </c>
      <c r="BB49" s="408">
        <f>Inputs_CPs!$K$13</f>
        <v>0.2</v>
      </c>
      <c r="BC49" s="408">
        <f>Inputs_CPs!$L$13</f>
        <v>0.2</v>
      </c>
      <c r="BD49" s="408">
        <f>Inputs_CPs!$M$13</f>
        <v>0.2</v>
      </c>
      <c r="BE49" s="264"/>
      <c r="BF49" s="739"/>
      <c r="BG49" s="411"/>
      <c r="BH49" s="264"/>
      <c r="BI49" s="263"/>
      <c r="BJ49" s="408">
        <f>Inputs_CPs!$F$13</f>
        <v>0.2</v>
      </c>
      <c r="BK49" s="408">
        <f>Inputs_CPs!$G$13</f>
        <v>0.2</v>
      </c>
      <c r="BL49" s="408">
        <f>Inputs_CPs!$H$13</f>
        <v>0.2</v>
      </c>
      <c r="BM49" s="408">
        <f>Inputs_CPs!$I$13</f>
        <v>0.2</v>
      </c>
      <c r="BN49" s="408">
        <f>Inputs_CPs!$N$13</f>
        <v>0.2</v>
      </c>
      <c r="BO49" s="408">
        <f>Inputs_CPs!$O$13</f>
        <v>0.2</v>
      </c>
      <c r="BP49" s="408">
        <f>Inputs_CPs!$K$13</f>
        <v>0.2</v>
      </c>
      <c r="BQ49" s="408">
        <f>Inputs_CPs!$L$13</f>
        <v>0.2</v>
      </c>
      <c r="BR49" s="408">
        <f>Inputs_CPs!$M$13</f>
        <v>0.2</v>
      </c>
      <c r="BS49" s="263"/>
    </row>
    <row r="50" spans="1:71" ht="24" customHeight="1" x14ac:dyDescent="0.2">
      <c r="A50" s="312"/>
      <c r="B50" s="401"/>
      <c r="C50" s="157"/>
      <c r="D50" s="461" t="s">
        <v>111</v>
      </c>
      <c r="E50" s="462" t="s">
        <v>142</v>
      </c>
      <c r="F50" s="463" t="s">
        <v>61</v>
      </c>
      <c r="G50" s="464" t="s">
        <v>50</v>
      </c>
      <c r="H50" s="465" t="s">
        <v>152</v>
      </c>
      <c r="I50" s="765" t="s">
        <v>156</v>
      </c>
      <c r="J50" s="453"/>
      <c r="K50" s="408">
        <f>Inputs_Estimates!$E$29</f>
        <v>0.2</v>
      </c>
      <c r="L50" s="408">
        <f>Inputs_Estimates!$F$29</f>
        <v>0.7</v>
      </c>
      <c r="M50" s="471"/>
      <c r="N50" s="264"/>
      <c r="O50" s="738" t="s">
        <v>393</v>
      </c>
      <c r="P50" s="264"/>
      <c r="Q50" s="264"/>
      <c r="R50" s="264"/>
      <c r="S50" s="410">
        <f t="shared" ref="S50:Y51" si="68">(1+CAPEX_Factor)*((SUMIFS(S$102:S$266,$E$102:$E$266,$E50,$H$102:$H$266,$H50)*(1-$K50))+(SUMIFS(S$271:S$364,$E$271:$E$364,$E50,$H$271:$H$364,$H50)*(1-$L50)))</f>
        <v>112.20000000000002</v>
      </c>
      <c r="T50" s="410">
        <f t="shared" si="68"/>
        <v>151.80000000000001</v>
      </c>
      <c r="U50" s="410">
        <f t="shared" si="68"/>
        <v>112.20000000000002</v>
      </c>
      <c r="V50" s="410">
        <f t="shared" si="68"/>
        <v>112.20000000000002</v>
      </c>
      <c r="W50" s="410">
        <f t="shared" si="68"/>
        <v>0</v>
      </c>
      <c r="X50" s="410">
        <f t="shared" si="68"/>
        <v>99.000000000000014</v>
      </c>
      <c r="Y50" s="410">
        <f t="shared" si="68"/>
        <v>29.700000000000003</v>
      </c>
      <c r="Z50" s="410">
        <f>(1+CAPEX_Factor)*((SUMIFS(Z$102:Z$266,$E$102:$E$266,$E50,$H$102:$H$266,$H50)*(1-$K50))+(SUMIFS(Z$271:Z$364,$E$271:$E$364,$E50,$H$271:$H$364,$H50)*(1-$L50)*TierA_TPI_BEefforts))</f>
        <v>0</v>
      </c>
      <c r="AA50" s="410">
        <f>(1+CAPEX_Factor)*((SUMIFS(AA$102:AA$266,$E$102:$E$266,$E50,$H$102:$H$266,$H50)*(1-$K50))+(SUMIFS(AA$271:AA$364,$E$271:$E$364,$E50,$H$271:$H$364,$H50)*(1-$L50)*TierA_TPI_BEefforts))</f>
        <v>29.700000000000003</v>
      </c>
      <c r="AB50" s="264"/>
      <c r="AC50" s="738" t="s">
        <v>393</v>
      </c>
      <c r="AD50" s="467"/>
      <c r="AE50" s="264"/>
      <c r="AF50" s="263"/>
      <c r="AG50" s="410">
        <f t="shared" ref="AG50:AM51" si="69">(1+CAPEX_Factor)*((SUMIFS(AG$102:AG$266,$E$102:$E$266,$E50,$H$102:$H$266,$H50)*(1-$K50))+(SUMIFS(AG$271:AG$364,$E$271:$E$364,$E50,$H$271:$H$364,$H50)*(1-$L50)))</f>
        <v>128.28750000000002</v>
      </c>
      <c r="AH50" s="410">
        <f t="shared" si="69"/>
        <v>128.28750000000002</v>
      </c>
      <c r="AI50" s="410">
        <f t="shared" si="69"/>
        <v>128.28750000000002</v>
      </c>
      <c r="AJ50" s="410">
        <f t="shared" si="69"/>
        <v>128.28750000000002</v>
      </c>
      <c r="AK50" s="410">
        <f t="shared" si="69"/>
        <v>0</v>
      </c>
      <c r="AL50" s="410">
        <f t="shared" si="69"/>
        <v>0</v>
      </c>
      <c r="AM50" s="410">
        <f t="shared" si="69"/>
        <v>64.143750000000011</v>
      </c>
      <c r="AN50" s="410">
        <f>(1+CAPEX_Factor)*((SUMIFS(AN$102:AN$266,$E$102:$E$266,$E50,$H$102:$H$266,$H50)*(1-$K50))+(SUMIFS(AN$271:AN$364,$E$271:$E$364,$E50,$H$271:$H$364,$H50)*(1-$L50)*TierA_TPI_BEefforts))</f>
        <v>0</v>
      </c>
      <c r="AO50" s="410">
        <f>(1+CAPEX_Factor)*((SUMIFS(AO$102:AO$266,$E$102:$E$266,$E50,$H$102:$H$266,$H50)*(1-$K50))+(SUMIFS(AO$271:AO$364,$E$271:$E$364,$E50,$H$271:$H$364,$H50)*(1-$L50)*TierA_TPI_BEefforts))</f>
        <v>64.143750000000011</v>
      </c>
      <c r="AP50" s="264"/>
      <c r="AQ50" s="264"/>
      <c r="AR50" s="738" t="s">
        <v>414</v>
      </c>
      <c r="AS50" s="411"/>
      <c r="AT50" s="264"/>
      <c r="AU50" s="263"/>
      <c r="AV50" s="410">
        <f t="shared" ref="AV50:BB51" si="70">(1+CAPEX_Factor)*((SUMIFS(AV$102:AV$266,$E$102:$E$266,$E50,$H$102:$H$266,$H50)*(1-$K50))+(SUMIFS(AV$271:AV$364,$E$271:$E$364,$E50,$H$271:$H$364,$H50)*(1-$L50)))</f>
        <v>122.76000000000002</v>
      </c>
      <c r="AW50" s="410">
        <f t="shared" si="70"/>
        <v>162.36000000000001</v>
      </c>
      <c r="AX50" s="410">
        <f t="shared" si="70"/>
        <v>122.76000000000002</v>
      </c>
      <c r="AY50" s="410">
        <f t="shared" si="70"/>
        <v>122.76000000000002</v>
      </c>
      <c r="AZ50" s="410">
        <f t="shared" si="70"/>
        <v>0</v>
      </c>
      <c r="BA50" s="410">
        <f t="shared" si="70"/>
        <v>99.000000000000014</v>
      </c>
      <c r="BB50" s="410">
        <f t="shared" si="70"/>
        <v>34.980000000000004</v>
      </c>
      <c r="BC50" s="410">
        <f>(1+CAPEX_Factor)*((SUMIFS(BC$102:BC$266,$E$102:$E$266,$E50,$H$102:$H$266,$H50)*(1-$K50))+(SUMIFS(BC$271:BC$364,$E$271:$E$364,$E50,$H$271:$H$364,$H50)*(1-$L50)*TierA_TPI_BEefforts))</f>
        <v>0</v>
      </c>
      <c r="BD50" s="410">
        <f>(1+CAPEX_Factor)*((SUMIFS(BD$102:BD$266,$E$102:$E$266,$E50,$H$102:$H$266,$H50)*(1-$K50))+(SUMIFS(BD$271:BD$364,$E$271:$E$364,$E50,$H$271:$H$364,$H50)*(1-$L50)*TierA_TPI_BEefforts))</f>
        <v>34.980000000000004</v>
      </c>
      <c r="BE50" s="264"/>
      <c r="BF50" s="738" t="s">
        <v>414</v>
      </c>
      <c r="BG50" s="411"/>
      <c r="BH50" s="264"/>
      <c r="BI50" s="263"/>
      <c r="BJ50" s="410">
        <f t="shared" ref="BJ50:BP51" si="71">(1+CAPEX_Factor)*((SUMIFS(BJ$102:BJ$266,$E$102:$E$266,$E50,$H$102:$H$266,$H50)*(1-$K50))+(SUMIFS(BJ$271:BJ$364,$E$271:$E$364,$E50,$H$271:$H$364,$H50)*(1-$L50)))</f>
        <v>138.84750000000003</v>
      </c>
      <c r="BK50" s="410">
        <f t="shared" si="71"/>
        <v>138.84750000000003</v>
      </c>
      <c r="BL50" s="410">
        <f t="shared" si="71"/>
        <v>138.84750000000003</v>
      </c>
      <c r="BM50" s="410">
        <f t="shared" si="71"/>
        <v>138.84750000000003</v>
      </c>
      <c r="BN50" s="410">
        <f t="shared" si="71"/>
        <v>0</v>
      </c>
      <c r="BO50" s="410">
        <f t="shared" si="71"/>
        <v>0</v>
      </c>
      <c r="BP50" s="410">
        <f t="shared" si="71"/>
        <v>69.423750000000013</v>
      </c>
      <c r="BQ50" s="410">
        <f>(1+CAPEX_Factor)*((SUMIFS(BQ$102:BQ$266,$E$102:$E$266,$E50,$H$102:$H$266,$H50)*(1-$K50))+(SUMIFS(BQ$271:BQ$364,$E$271:$E$364,$E50,$H$271:$H$364,$H50)*(1-$L50)*TierA_TPI_BEefforts))</f>
        <v>0</v>
      </c>
      <c r="BR50" s="410">
        <f>(1+CAPEX_Factor)*((SUMIFS(BR$102:BR$266,$E$102:$E$266,$E50,$H$102:$H$266,$H50)*(1-$K50))+(SUMIFS(BR$271:BR$364,$E$271:$E$364,$E50,$H$271:$H$364,$H50)*(1-$L50)*TierA_TPI_BEefforts))</f>
        <v>69.423750000000013</v>
      </c>
      <c r="BS50" s="263"/>
    </row>
    <row r="51" spans="1:71" ht="24" customHeight="1" x14ac:dyDescent="0.2">
      <c r="A51" s="312"/>
      <c r="B51" s="401"/>
      <c r="C51" s="157"/>
      <c r="D51" s="461" t="s">
        <v>111</v>
      </c>
      <c r="E51" s="462" t="s">
        <v>142</v>
      </c>
      <c r="F51" s="463" t="s">
        <v>30</v>
      </c>
      <c r="G51" s="468" t="s">
        <v>50</v>
      </c>
      <c r="H51" s="465" t="s">
        <v>119</v>
      </c>
      <c r="I51" s="765"/>
      <c r="J51" s="453"/>
      <c r="K51" s="408">
        <v>0</v>
      </c>
      <c r="L51" s="408">
        <f>Inputs_Estimates!$F$30</f>
        <v>0.66666666666666674</v>
      </c>
      <c r="M51" s="466" t="s">
        <v>231</v>
      </c>
      <c r="N51" s="264"/>
      <c r="O51" s="738"/>
      <c r="P51" s="264"/>
      <c r="Q51" s="264"/>
      <c r="R51" s="264"/>
      <c r="S51" s="410">
        <f t="shared" si="68"/>
        <v>0</v>
      </c>
      <c r="T51" s="410">
        <f t="shared" si="68"/>
        <v>0</v>
      </c>
      <c r="U51" s="410">
        <f t="shared" si="68"/>
        <v>0</v>
      </c>
      <c r="V51" s="410">
        <f t="shared" si="68"/>
        <v>0</v>
      </c>
      <c r="W51" s="410">
        <f t="shared" si="68"/>
        <v>0</v>
      </c>
      <c r="X51" s="410">
        <f t="shared" si="68"/>
        <v>0</v>
      </c>
      <c r="Y51" s="410">
        <f t="shared" si="68"/>
        <v>0</v>
      </c>
      <c r="Z51" s="410">
        <f>(1+CAPEX_Factor)*((SUMIFS(Z$102:Z$266,$E$102:$E$266,$E51,$H$102:$H$266,$H51)*(1-$K51))+(SUMIFS(Z$271:Z$364,$E$271:$E$364,$E51,$H$271:$H$364,$H51)*(1-$L51)*TierA_TPI_BEefforts))</f>
        <v>0</v>
      </c>
      <c r="AA51" s="410">
        <f>(1+CAPEX_Factor)*((SUMIFS(AA$102:AA$266,$E$102:$E$266,$E51,$H$102:$H$266,$H51)*(1-$K51))+(SUMIFS(AA$271:AA$364,$E$271:$E$364,$E51,$H$271:$H$364,$H51)*(1-$L51)*TierA_TPI_BEefforts))</f>
        <v>0</v>
      </c>
      <c r="AB51" s="264"/>
      <c r="AC51" s="738"/>
      <c r="AD51" s="467"/>
      <c r="AE51" s="264"/>
      <c r="AF51" s="263"/>
      <c r="AG51" s="410">
        <f t="shared" si="69"/>
        <v>0</v>
      </c>
      <c r="AH51" s="410">
        <f t="shared" si="69"/>
        <v>0</v>
      </c>
      <c r="AI51" s="410">
        <f t="shared" si="69"/>
        <v>0</v>
      </c>
      <c r="AJ51" s="410">
        <f t="shared" si="69"/>
        <v>0</v>
      </c>
      <c r="AK51" s="410">
        <f t="shared" si="69"/>
        <v>0</v>
      </c>
      <c r="AL51" s="410">
        <f t="shared" si="69"/>
        <v>0</v>
      </c>
      <c r="AM51" s="410">
        <f t="shared" si="69"/>
        <v>0</v>
      </c>
      <c r="AN51" s="410">
        <f>(1+CAPEX_Factor)*((SUMIFS(AN$102:AN$266,$E$102:$E$266,$E51,$H$102:$H$266,$H51)*(1-$K51))+(SUMIFS(AN$271:AN$364,$E$271:$E$364,$E51,$H$271:$H$364,$H51)*(1-$L51)*TierA_TPI_BEefforts))</f>
        <v>0</v>
      </c>
      <c r="AO51" s="410">
        <f>(1+CAPEX_Factor)*((SUMIFS(AO$102:AO$266,$E$102:$E$266,$E51,$H$102:$H$266,$H51)*(1-$K51))+(SUMIFS(AO$271:AO$364,$E$271:$E$364,$E51,$H$271:$H$364,$H51)*(1-$L51)*TierA_TPI_BEefforts))</f>
        <v>0</v>
      </c>
      <c r="AP51" s="264"/>
      <c r="AQ51" s="264"/>
      <c r="AR51" s="738"/>
      <c r="AS51" s="411"/>
      <c r="AT51" s="264"/>
      <c r="AU51" s="263"/>
      <c r="AV51" s="410">
        <f t="shared" si="70"/>
        <v>0</v>
      </c>
      <c r="AW51" s="410">
        <f t="shared" si="70"/>
        <v>0</v>
      </c>
      <c r="AX51" s="410">
        <f t="shared" si="70"/>
        <v>0</v>
      </c>
      <c r="AY51" s="410">
        <f t="shared" si="70"/>
        <v>0</v>
      </c>
      <c r="AZ51" s="410">
        <f t="shared" si="70"/>
        <v>0</v>
      </c>
      <c r="BA51" s="410">
        <f t="shared" si="70"/>
        <v>0</v>
      </c>
      <c r="BB51" s="410">
        <f t="shared" si="70"/>
        <v>0</v>
      </c>
      <c r="BC51" s="410">
        <f>(1+CAPEX_Factor)*((SUMIFS(BC$102:BC$266,$E$102:$E$266,$E51,$H$102:$H$266,$H51)*(1-$K51))+(SUMIFS(BC$271:BC$364,$E$271:$E$364,$E51,$H$271:$H$364,$H51)*(1-$L51)*TierA_TPI_BEefforts))</f>
        <v>0</v>
      </c>
      <c r="BD51" s="410">
        <f>(1+CAPEX_Factor)*((SUMIFS(BD$102:BD$266,$E$102:$E$266,$E51,$H$102:$H$266,$H51)*(1-$K51))+(SUMIFS(BD$271:BD$364,$E$271:$E$364,$E51,$H$271:$H$364,$H51)*(1-$L51)*TierA_TPI_BEefforts))</f>
        <v>0</v>
      </c>
      <c r="BE51" s="264"/>
      <c r="BF51" s="738"/>
      <c r="BG51" s="411"/>
      <c r="BH51" s="264"/>
      <c r="BI51" s="263"/>
      <c r="BJ51" s="410">
        <f t="shared" si="71"/>
        <v>0</v>
      </c>
      <c r="BK51" s="410">
        <f t="shared" si="71"/>
        <v>0</v>
      </c>
      <c r="BL51" s="410">
        <f t="shared" si="71"/>
        <v>0</v>
      </c>
      <c r="BM51" s="410">
        <f t="shared" si="71"/>
        <v>0</v>
      </c>
      <c r="BN51" s="410">
        <f t="shared" si="71"/>
        <v>0</v>
      </c>
      <c r="BO51" s="410">
        <f t="shared" si="71"/>
        <v>0</v>
      </c>
      <c r="BP51" s="410">
        <f t="shared" si="71"/>
        <v>0</v>
      </c>
      <c r="BQ51" s="410">
        <f>(1+CAPEX_Factor)*((SUMIFS(BQ$102:BQ$266,$E$102:$E$266,$E51,$H$102:$H$266,$H51)*(1-$K51))+(SUMIFS(BQ$271:BQ$364,$E$271:$E$364,$E51,$H$271:$H$364,$H51)*(1-$L51)*TierA_TPI_BEefforts))</f>
        <v>0</v>
      </c>
      <c r="BR51" s="410">
        <f>(1+CAPEX_Factor)*((SUMIFS(BR$102:BR$266,$E$102:$E$266,$E51,$H$102:$H$266,$H51)*(1-$K51))+(SUMIFS(BR$271:BR$364,$E$271:$E$364,$E51,$H$271:$H$364,$H51)*(1-$L51)*TierA_TPI_BEefforts))</f>
        <v>0</v>
      </c>
      <c r="BS51" s="263"/>
    </row>
    <row r="52" spans="1:71" ht="24" customHeight="1" x14ac:dyDescent="0.2">
      <c r="A52" s="312"/>
      <c r="B52" s="401"/>
      <c r="C52" s="157"/>
      <c r="D52" s="461" t="s">
        <v>111</v>
      </c>
      <c r="E52" s="462" t="s">
        <v>142</v>
      </c>
      <c r="F52" s="469" t="s">
        <v>49</v>
      </c>
      <c r="G52" s="468" t="s">
        <v>47</v>
      </c>
      <c r="H52" s="465" t="s">
        <v>120</v>
      </c>
      <c r="I52" s="765"/>
      <c r="J52" s="453"/>
      <c r="K52" s="408" t="s">
        <v>58</v>
      </c>
      <c r="L52" s="408" t="s">
        <v>58</v>
      </c>
      <c r="M52" s="471"/>
      <c r="N52" s="264"/>
      <c r="O52" s="738"/>
      <c r="P52" s="264"/>
      <c r="Q52" s="264"/>
      <c r="R52" s="264"/>
      <c r="S52" s="408">
        <f>Inputs_CPs!$F$13</f>
        <v>0.2</v>
      </c>
      <c r="T52" s="408">
        <f>Inputs_CPs!$G$13</f>
        <v>0.2</v>
      </c>
      <c r="U52" s="408">
        <f>Inputs_CPs!$H$13</f>
        <v>0.2</v>
      </c>
      <c r="V52" s="408">
        <f>Inputs_CPs!$I$13</f>
        <v>0.2</v>
      </c>
      <c r="W52" s="408">
        <f>Inputs_CPs!$N$13</f>
        <v>0.2</v>
      </c>
      <c r="X52" s="408">
        <f>Inputs_CPs!$O$13</f>
        <v>0.2</v>
      </c>
      <c r="Y52" s="408">
        <f>Inputs_CPs!$K$13</f>
        <v>0.2</v>
      </c>
      <c r="Z52" s="408">
        <f>Inputs_CPs!$L$13</f>
        <v>0.2</v>
      </c>
      <c r="AA52" s="408">
        <f>Inputs_CPs!$M$13</f>
        <v>0.2</v>
      </c>
      <c r="AB52" s="264"/>
      <c r="AC52" s="738"/>
      <c r="AD52" s="467"/>
      <c r="AE52" s="264"/>
      <c r="AF52" s="263"/>
      <c r="AG52" s="408">
        <f>Inputs_CPs!$F$13</f>
        <v>0.2</v>
      </c>
      <c r="AH52" s="408">
        <f>Inputs_CPs!$G$13</f>
        <v>0.2</v>
      </c>
      <c r="AI52" s="408">
        <f>Inputs_CPs!$H$13</f>
        <v>0.2</v>
      </c>
      <c r="AJ52" s="408">
        <f>Inputs_CPs!$I$13</f>
        <v>0.2</v>
      </c>
      <c r="AK52" s="408">
        <f>Inputs_CPs!$N$13</f>
        <v>0.2</v>
      </c>
      <c r="AL52" s="408">
        <f>Inputs_CPs!$O$13</f>
        <v>0.2</v>
      </c>
      <c r="AM52" s="408">
        <f>Inputs_CPs!$K$13</f>
        <v>0.2</v>
      </c>
      <c r="AN52" s="408">
        <f>Inputs_CPs!$L$13</f>
        <v>0.2</v>
      </c>
      <c r="AO52" s="408">
        <f>Inputs_CPs!$M$13</f>
        <v>0.2</v>
      </c>
      <c r="AP52" s="264"/>
      <c r="AQ52" s="264"/>
      <c r="AR52" s="738"/>
      <c r="AS52" s="411"/>
      <c r="AT52" s="264"/>
      <c r="AU52" s="263"/>
      <c r="AV52" s="408">
        <f>Inputs_CPs!$F$13</f>
        <v>0.2</v>
      </c>
      <c r="AW52" s="408">
        <f>Inputs_CPs!$G$13</f>
        <v>0.2</v>
      </c>
      <c r="AX52" s="408">
        <f>Inputs_CPs!$H$13</f>
        <v>0.2</v>
      </c>
      <c r="AY52" s="408">
        <f>Inputs_CPs!$I$13</f>
        <v>0.2</v>
      </c>
      <c r="AZ52" s="408">
        <f>Inputs_CPs!$N$13</f>
        <v>0.2</v>
      </c>
      <c r="BA52" s="408">
        <f>Inputs_CPs!$O$13</f>
        <v>0.2</v>
      </c>
      <c r="BB52" s="408">
        <f>Inputs_CPs!$K$13</f>
        <v>0.2</v>
      </c>
      <c r="BC52" s="408">
        <f>Inputs_CPs!$L$13</f>
        <v>0.2</v>
      </c>
      <c r="BD52" s="408">
        <f>Inputs_CPs!$M$13</f>
        <v>0.2</v>
      </c>
      <c r="BE52" s="264"/>
      <c r="BF52" s="738"/>
      <c r="BG52" s="411"/>
      <c r="BH52" s="264"/>
      <c r="BI52" s="263"/>
      <c r="BJ52" s="408">
        <f>Inputs_CPs!$F$13</f>
        <v>0.2</v>
      </c>
      <c r="BK52" s="408">
        <f>Inputs_CPs!$G$13</f>
        <v>0.2</v>
      </c>
      <c r="BL52" s="408">
        <f>Inputs_CPs!$H$13</f>
        <v>0.2</v>
      </c>
      <c r="BM52" s="408">
        <f>Inputs_CPs!$I$13</f>
        <v>0.2</v>
      </c>
      <c r="BN52" s="408">
        <f>Inputs_CPs!$N$13</f>
        <v>0.2</v>
      </c>
      <c r="BO52" s="408">
        <f>Inputs_CPs!$O$13</f>
        <v>0.2</v>
      </c>
      <c r="BP52" s="408">
        <f>Inputs_CPs!$K$13</f>
        <v>0.2</v>
      </c>
      <c r="BQ52" s="408">
        <f>Inputs_CPs!$L$13</f>
        <v>0.2</v>
      </c>
      <c r="BR52" s="408">
        <f>Inputs_CPs!$M$13</f>
        <v>0.2</v>
      </c>
      <c r="BS52" s="263"/>
    </row>
    <row r="53" spans="1:71" ht="24" customHeight="1" x14ac:dyDescent="0.2">
      <c r="A53" s="312"/>
      <c r="B53" s="401"/>
      <c r="C53" s="157"/>
      <c r="D53" s="455" t="s">
        <v>111</v>
      </c>
      <c r="E53" s="456" t="s">
        <v>143</v>
      </c>
      <c r="F53" s="457" t="s">
        <v>61</v>
      </c>
      <c r="G53" s="470" t="s">
        <v>50</v>
      </c>
      <c r="H53" s="459" t="s">
        <v>152</v>
      </c>
      <c r="I53" s="766" t="s">
        <v>246</v>
      </c>
      <c r="J53" s="453"/>
      <c r="K53" s="408">
        <f>Inputs_Estimates!$E$29</f>
        <v>0.2</v>
      </c>
      <c r="L53" s="408">
        <f>Inputs_Estimates!$F$29</f>
        <v>0.7</v>
      </c>
      <c r="M53" s="409"/>
      <c r="N53" s="264"/>
      <c r="O53" s="739" t="s">
        <v>393</v>
      </c>
      <c r="P53" s="264"/>
      <c r="Q53" s="264"/>
      <c r="R53" s="264"/>
      <c r="S53" s="410">
        <f t="shared" ref="S53:Y54" si="72">(1+CAPEX_Factor)*((SUMIFS(S$102:S$266,$E$102:$E$266,$E53,$H$102:$H$266,$H53)*(1-$K53))+(SUMIFS(S$271:S$364,$E$271:$E$364,$E53,$H$271:$H$364,$H53)*(1-$L53)))</f>
        <v>112.20000000000002</v>
      </c>
      <c r="T53" s="410">
        <f t="shared" si="72"/>
        <v>151.80000000000001</v>
      </c>
      <c r="U53" s="410">
        <f t="shared" si="72"/>
        <v>112.20000000000002</v>
      </c>
      <c r="V53" s="410">
        <f t="shared" si="72"/>
        <v>112.20000000000002</v>
      </c>
      <c r="W53" s="410">
        <f t="shared" si="72"/>
        <v>0</v>
      </c>
      <c r="X53" s="410">
        <f t="shared" si="72"/>
        <v>99.000000000000014</v>
      </c>
      <c r="Y53" s="410">
        <f t="shared" si="72"/>
        <v>56.100000000000009</v>
      </c>
      <c r="Z53" s="410">
        <f>(1+CAPEX_Factor)*((SUMIFS(Z$102:Z$266,$E$102:$E$266,$E53,$H$102:$H$266,$H53)*(1-$K53))+(SUMIFS(Z$271:Z$364,$E$271:$E$364,$E53,$H$271:$H$364,$H53)*(1-$L53)*TierA_TPI_BEefforts))</f>
        <v>0</v>
      </c>
      <c r="AA53" s="410">
        <f>(1+CAPEX_Factor)*((SUMIFS(AA$102:AA$266,$E$102:$E$266,$E53,$H$102:$H$266,$H53)*(1-$K53))+(SUMIFS(AA$271:AA$364,$E$271:$E$364,$E53,$H$271:$H$364,$H53)*(1-$L53)*TierA_TPI_BEefforts))</f>
        <v>56.100000000000009</v>
      </c>
      <c r="AB53" s="264"/>
      <c r="AC53" s="739" t="s">
        <v>393</v>
      </c>
      <c r="AD53" s="467"/>
      <c r="AE53" s="264"/>
      <c r="AF53" s="263"/>
      <c r="AG53" s="410">
        <f t="shared" ref="AG53:AM54" si="73">(1+CAPEX_Factor)*((SUMIFS(AG$102:AG$266,$E$102:$E$266,$E53,$H$102:$H$266,$H53)*(1-$K53))+(SUMIFS(AG$271:AG$364,$E$271:$E$364,$E53,$H$271:$H$364,$H53)*(1-$L53)))</f>
        <v>128.28750000000002</v>
      </c>
      <c r="AH53" s="410">
        <f t="shared" si="73"/>
        <v>128.28750000000002</v>
      </c>
      <c r="AI53" s="410">
        <f t="shared" si="73"/>
        <v>128.28750000000002</v>
      </c>
      <c r="AJ53" s="410">
        <f t="shared" si="73"/>
        <v>128.28750000000002</v>
      </c>
      <c r="AK53" s="410">
        <f t="shared" si="73"/>
        <v>0</v>
      </c>
      <c r="AL53" s="410">
        <f t="shared" si="73"/>
        <v>0</v>
      </c>
      <c r="AM53" s="410">
        <f t="shared" si="73"/>
        <v>64.143750000000011</v>
      </c>
      <c r="AN53" s="410">
        <f>(1+CAPEX_Factor)*((SUMIFS(AN$102:AN$266,$E$102:$E$266,$E53,$H$102:$H$266,$H53)*(1-$K53))+(SUMIFS(AN$271:AN$364,$E$271:$E$364,$E53,$H$271:$H$364,$H53)*(1-$L53)*TierA_TPI_BEefforts))</f>
        <v>0</v>
      </c>
      <c r="AO53" s="410">
        <f>(1+CAPEX_Factor)*((SUMIFS(AO$102:AO$266,$E$102:$E$266,$E53,$H$102:$H$266,$H53)*(1-$K53))+(SUMIFS(AO$271:AO$364,$E$271:$E$364,$E53,$H$271:$H$364,$H53)*(1-$L53)*TierA_TPI_BEefforts))</f>
        <v>64.143750000000011</v>
      </c>
      <c r="AP53" s="264"/>
      <c r="AQ53" s="264"/>
      <c r="AR53" s="739" t="s">
        <v>414</v>
      </c>
      <c r="AS53" s="411"/>
      <c r="AT53" s="264"/>
      <c r="AU53" s="263"/>
      <c r="AV53" s="410">
        <f t="shared" ref="AV53:BB54" si="74">(1+CAPEX_Factor)*((SUMIFS(AV$102:AV$266,$E$102:$E$266,$E53,$H$102:$H$266,$H53)*(1-$K53))+(SUMIFS(AV$271:AV$364,$E$271:$E$364,$E53,$H$271:$H$364,$H53)*(1-$L53)))</f>
        <v>122.76000000000002</v>
      </c>
      <c r="AW53" s="410">
        <f t="shared" si="74"/>
        <v>162.36000000000001</v>
      </c>
      <c r="AX53" s="410">
        <f t="shared" si="74"/>
        <v>122.76000000000002</v>
      </c>
      <c r="AY53" s="410">
        <f t="shared" si="74"/>
        <v>122.76000000000002</v>
      </c>
      <c r="AZ53" s="410">
        <f t="shared" si="74"/>
        <v>0</v>
      </c>
      <c r="BA53" s="410">
        <f t="shared" si="74"/>
        <v>99.000000000000014</v>
      </c>
      <c r="BB53" s="410">
        <f t="shared" si="74"/>
        <v>61.38000000000001</v>
      </c>
      <c r="BC53" s="410">
        <f>(1+CAPEX_Factor)*((SUMIFS(BC$102:BC$266,$E$102:$E$266,$E53,$H$102:$H$266,$H53)*(1-$K53))+(SUMIFS(BC$271:BC$364,$E$271:$E$364,$E53,$H$271:$H$364,$H53)*(1-$L53)*TierA_TPI_BEefforts))</f>
        <v>0</v>
      </c>
      <c r="BD53" s="410">
        <f>(1+CAPEX_Factor)*((SUMIFS(BD$102:BD$266,$E$102:$E$266,$E53,$H$102:$H$266,$H53)*(1-$K53))+(SUMIFS(BD$271:BD$364,$E$271:$E$364,$E53,$H$271:$H$364,$H53)*(1-$L53)*TierA_TPI_BEefforts))</f>
        <v>61.38000000000001</v>
      </c>
      <c r="BE53" s="264"/>
      <c r="BF53" s="739" t="s">
        <v>414</v>
      </c>
      <c r="BG53" s="411"/>
      <c r="BH53" s="264"/>
      <c r="BI53" s="263"/>
      <c r="BJ53" s="410">
        <f t="shared" ref="BJ53:BP54" si="75">(1+CAPEX_Factor)*((SUMIFS(BJ$102:BJ$266,$E$102:$E$266,$E53,$H$102:$H$266,$H53)*(1-$K53))+(SUMIFS(BJ$271:BJ$364,$E$271:$E$364,$E53,$H$271:$H$364,$H53)*(1-$L53)))</f>
        <v>138.84750000000003</v>
      </c>
      <c r="BK53" s="410">
        <f t="shared" si="75"/>
        <v>138.84750000000003</v>
      </c>
      <c r="BL53" s="410">
        <f t="shared" si="75"/>
        <v>138.84750000000003</v>
      </c>
      <c r="BM53" s="410">
        <f t="shared" si="75"/>
        <v>138.84750000000003</v>
      </c>
      <c r="BN53" s="410">
        <f t="shared" si="75"/>
        <v>0</v>
      </c>
      <c r="BO53" s="410">
        <f t="shared" si="75"/>
        <v>0</v>
      </c>
      <c r="BP53" s="410">
        <f t="shared" si="75"/>
        <v>69.423750000000013</v>
      </c>
      <c r="BQ53" s="410">
        <f>(1+CAPEX_Factor)*((SUMIFS(BQ$102:BQ$266,$E$102:$E$266,$E53,$H$102:$H$266,$H53)*(1-$K53))+(SUMIFS(BQ$271:BQ$364,$E$271:$E$364,$E53,$H$271:$H$364,$H53)*(1-$L53)*TierA_TPI_BEefforts))</f>
        <v>0</v>
      </c>
      <c r="BR53" s="410">
        <f>(1+CAPEX_Factor)*((SUMIFS(BR$102:BR$266,$E$102:$E$266,$E53,$H$102:$H$266,$H53)*(1-$K53))+(SUMIFS(BR$271:BR$364,$E$271:$E$364,$E53,$H$271:$H$364,$H53)*(1-$L53)*TierA_TPI_BEefforts))</f>
        <v>69.423750000000013</v>
      </c>
      <c r="BS53" s="263"/>
    </row>
    <row r="54" spans="1:71" ht="24" customHeight="1" x14ac:dyDescent="0.2">
      <c r="A54" s="312"/>
      <c r="B54" s="401"/>
      <c r="C54" s="157"/>
      <c r="D54" s="455" t="s">
        <v>111</v>
      </c>
      <c r="E54" s="456" t="s">
        <v>143</v>
      </c>
      <c r="F54" s="457" t="s">
        <v>30</v>
      </c>
      <c r="G54" s="458" t="s">
        <v>50</v>
      </c>
      <c r="H54" s="459" t="s">
        <v>119</v>
      </c>
      <c r="I54" s="766"/>
      <c r="J54" s="453"/>
      <c r="K54" s="408">
        <v>0</v>
      </c>
      <c r="L54" s="408">
        <f>Inputs_Estimates!$F$30</f>
        <v>0.66666666666666674</v>
      </c>
      <c r="M54" s="439" t="s">
        <v>231</v>
      </c>
      <c r="N54" s="264"/>
      <c r="O54" s="739"/>
      <c r="P54" s="264"/>
      <c r="Q54" s="264"/>
      <c r="R54" s="264"/>
      <c r="S54" s="410">
        <f t="shared" si="72"/>
        <v>0</v>
      </c>
      <c r="T54" s="410">
        <f t="shared" si="72"/>
        <v>0</v>
      </c>
      <c r="U54" s="410">
        <f t="shared" si="72"/>
        <v>0</v>
      </c>
      <c r="V54" s="410">
        <f t="shared" si="72"/>
        <v>0</v>
      </c>
      <c r="W54" s="410">
        <f t="shared" si="72"/>
        <v>0</v>
      </c>
      <c r="X54" s="410">
        <f t="shared" si="72"/>
        <v>0</v>
      </c>
      <c r="Y54" s="410">
        <f t="shared" si="72"/>
        <v>0</v>
      </c>
      <c r="Z54" s="410">
        <f>(1+CAPEX_Factor)*((SUMIFS(Z$102:Z$266,$E$102:$E$266,$E54,$H$102:$H$266,$H54)*(1-$K54))+(SUMIFS(Z$271:Z$364,$E$271:$E$364,$E54,$H$271:$H$364,$H54)*(1-$L54)*TierA_TPI_BEefforts))</f>
        <v>0</v>
      </c>
      <c r="AA54" s="410">
        <f>(1+CAPEX_Factor)*((SUMIFS(AA$102:AA$266,$E$102:$E$266,$E54,$H$102:$H$266,$H54)*(1-$K54))+(SUMIFS(AA$271:AA$364,$E$271:$E$364,$E54,$H$271:$H$364,$H54)*(1-$L54)*TierA_TPI_BEefforts))</f>
        <v>0</v>
      </c>
      <c r="AB54" s="264"/>
      <c r="AC54" s="739"/>
      <c r="AD54" s="467"/>
      <c r="AE54" s="264"/>
      <c r="AF54" s="263"/>
      <c r="AG54" s="410">
        <f t="shared" si="73"/>
        <v>0</v>
      </c>
      <c r="AH54" s="410">
        <f t="shared" si="73"/>
        <v>0</v>
      </c>
      <c r="AI54" s="410">
        <f t="shared" si="73"/>
        <v>0</v>
      </c>
      <c r="AJ54" s="410">
        <f t="shared" si="73"/>
        <v>0</v>
      </c>
      <c r="AK54" s="410">
        <f t="shared" si="73"/>
        <v>0</v>
      </c>
      <c r="AL54" s="410">
        <f t="shared" si="73"/>
        <v>0</v>
      </c>
      <c r="AM54" s="410">
        <f t="shared" si="73"/>
        <v>0</v>
      </c>
      <c r="AN54" s="410">
        <f>(1+CAPEX_Factor)*((SUMIFS(AN$102:AN$266,$E$102:$E$266,$E54,$H$102:$H$266,$H54)*(1-$K54))+(SUMIFS(AN$271:AN$364,$E$271:$E$364,$E54,$H$271:$H$364,$H54)*(1-$L54)*TierA_TPI_BEefforts))</f>
        <v>0</v>
      </c>
      <c r="AO54" s="410">
        <f>(1+CAPEX_Factor)*((SUMIFS(AO$102:AO$266,$E$102:$E$266,$E54,$H$102:$H$266,$H54)*(1-$K54))+(SUMIFS(AO$271:AO$364,$E$271:$E$364,$E54,$H$271:$H$364,$H54)*(1-$L54)*TierA_TPI_BEefforts))</f>
        <v>0</v>
      </c>
      <c r="AP54" s="264"/>
      <c r="AQ54" s="264"/>
      <c r="AR54" s="739"/>
      <c r="AS54" s="411"/>
      <c r="AT54" s="264"/>
      <c r="AU54" s="263"/>
      <c r="AV54" s="410">
        <f t="shared" si="74"/>
        <v>0</v>
      </c>
      <c r="AW54" s="410">
        <f t="shared" si="74"/>
        <v>0</v>
      </c>
      <c r="AX54" s="410">
        <f t="shared" si="74"/>
        <v>0</v>
      </c>
      <c r="AY54" s="410">
        <f t="shared" si="74"/>
        <v>0</v>
      </c>
      <c r="AZ54" s="410">
        <f t="shared" si="74"/>
        <v>0</v>
      </c>
      <c r="BA54" s="410">
        <f t="shared" si="74"/>
        <v>0</v>
      </c>
      <c r="BB54" s="410">
        <f t="shared" si="74"/>
        <v>0</v>
      </c>
      <c r="BC54" s="410">
        <f>(1+CAPEX_Factor)*((SUMIFS(BC$102:BC$266,$E$102:$E$266,$E54,$H$102:$H$266,$H54)*(1-$K54))+(SUMIFS(BC$271:BC$364,$E$271:$E$364,$E54,$H$271:$H$364,$H54)*(1-$L54)*TierA_TPI_BEefforts))</f>
        <v>0</v>
      </c>
      <c r="BD54" s="410">
        <f>(1+CAPEX_Factor)*((SUMIFS(BD$102:BD$266,$E$102:$E$266,$E54,$H$102:$H$266,$H54)*(1-$K54))+(SUMIFS(BD$271:BD$364,$E$271:$E$364,$E54,$H$271:$H$364,$H54)*(1-$L54)*TierA_TPI_BEefforts))</f>
        <v>0</v>
      </c>
      <c r="BE54" s="264"/>
      <c r="BF54" s="739"/>
      <c r="BG54" s="411"/>
      <c r="BH54" s="264"/>
      <c r="BI54" s="263"/>
      <c r="BJ54" s="410">
        <f t="shared" si="75"/>
        <v>0</v>
      </c>
      <c r="BK54" s="410">
        <f t="shared" si="75"/>
        <v>0</v>
      </c>
      <c r="BL54" s="410">
        <f t="shared" si="75"/>
        <v>0</v>
      </c>
      <c r="BM54" s="410">
        <f t="shared" si="75"/>
        <v>0</v>
      </c>
      <c r="BN54" s="410">
        <f t="shared" si="75"/>
        <v>0</v>
      </c>
      <c r="BO54" s="410">
        <f t="shared" si="75"/>
        <v>0</v>
      </c>
      <c r="BP54" s="410">
        <f t="shared" si="75"/>
        <v>0</v>
      </c>
      <c r="BQ54" s="410">
        <f>(1+CAPEX_Factor)*((SUMIFS(BQ$102:BQ$266,$E$102:$E$266,$E54,$H$102:$H$266,$H54)*(1-$K54))+(SUMIFS(BQ$271:BQ$364,$E$271:$E$364,$E54,$H$271:$H$364,$H54)*(1-$L54)*TierA_TPI_BEefforts))</f>
        <v>0</v>
      </c>
      <c r="BR54" s="410">
        <f>(1+CAPEX_Factor)*((SUMIFS(BR$102:BR$266,$E$102:$E$266,$E54,$H$102:$H$266,$H54)*(1-$K54))+(SUMIFS(BR$271:BR$364,$E$271:$E$364,$E54,$H$271:$H$364,$H54)*(1-$L54)*TierA_TPI_BEefforts))</f>
        <v>0</v>
      </c>
      <c r="BS54" s="263"/>
    </row>
    <row r="55" spans="1:71" ht="24" customHeight="1" x14ac:dyDescent="0.2">
      <c r="A55" s="312"/>
      <c r="B55" s="401"/>
      <c r="C55" s="157"/>
      <c r="D55" s="455" t="s">
        <v>111</v>
      </c>
      <c r="E55" s="456" t="s">
        <v>143</v>
      </c>
      <c r="F55" s="460" t="s">
        <v>49</v>
      </c>
      <c r="G55" s="458" t="s">
        <v>47</v>
      </c>
      <c r="H55" s="459" t="s">
        <v>120</v>
      </c>
      <c r="I55" s="766"/>
      <c r="J55" s="453"/>
      <c r="K55" s="408" t="s">
        <v>58</v>
      </c>
      <c r="L55" s="408" t="s">
        <v>58</v>
      </c>
      <c r="M55" s="439"/>
      <c r="N55" s="264"/>
      <c r="O55" s="739"/>
      <c r="P55" s="264"/>
      <c r="Q55" s="264"/>
      <c r="R55" s="264"/>
      <c r="S55" s="408">
        <f>Inputs_CPs!$F$13</f>
        <v>0.2</v>
      </c>
      <c r="T55" s="408">
        <f>Inputs_CPs!$G$13</f>
        <v>0.2</v>
      </c>
      <c r="U55" s="408">
        <f>Inputs_CPs!$H$13</f>
        <v>0.2</v>
      </c>
      <c r="V55" s="408">
        <f>Inputs_CPs!$I$13</f>
        <v>0.2</v>
      </c>
      <c r="W55" s="408">
        <f>Inputs_CPs!$N$13</f>
        <v>0.2</v>
      </c>
      <c r="X55" s="408">
        <f>Inputs_CPs!$O$13</f>
        <v>0.2</v>
      </c>
      <c r="Y55" s="408">
        <f>Inputs_CPs!$K$13</f>
        <v>0.2</v>
      </c>
      <c r="Z55" s="408">
        <f>Inputs_CPs!$L$13</f>
        <v>0.2</v>
      </c>
      <c r="AA55" s="408">
        <f>Inputs_CPs!$M$13</f>
        <v>0.2</v>
      </c>
      <c r="AB55" s="264"/>
      <c r="AC55" s="739"/>
      <c r="AD55" s="467"/>
      <c r="AE55" s="264"/>
      <c r="AF55" s="263"/>
      <c r="AG55" s="408">
        <f>Inputs_CPs!$F$13</f>
        <v>0.2</v>
      </c>
      <c r="AH55" s="408">
        <f>Inputs_CPs!$G$13</f>
        <v>0.2</v>
      </c>
      <c r="AI55" s="408">
        <f>Inputs_CPs!$H$13</f>
        <v>0.2</v>
      </c>
      <c r="AJ55" s="408">
        <f>Inputs_CPs!$I$13</f>
        <v>0.2</v>
      </c>
      <c r="AK55" s="408">
        <f>Inputs_CPs!$N$13</f>
        <v>0.2</v>
      </c>
      <c r="AL55" s="408">
        <f>Inputs_CPs!$O$13</f>
        <v>0.2</v>
      </c>
      <c r="AM55" s="408">
        <f>Inputs_CPs!$K$13</f>
        <v>0.2</v>
      </c>
      <c r="AN55" s="408">
        <f>Inputs_CPs!$L$13</f>
        <v>0.2</v>
      </c>
      <c r="AO55" s="408">
        <f>Inputs_CPs!$M$13</f>
        <v>0.2</v>
      </c>
      <c r="AP55" s="264"/>
      <c r="AQ55" s="264"/>
      <c r="AR55" s="739"/>
      <c r="AS55" s="411"/>
      <c r="AT55" s="264"/>
      <c r="AU55" s="263"/>
      <c r="AV55" s="408">
        <f>Inputs_CPs!$F$13</f>
        <v>0.2</v>
      </c>
      <c r="AW55" s="408">
        <f>Inputs_CPs!$G$13</f>
        <v>0.2</v>
      </c>
      <c r="AX55" s="408">
        <f>Inputs_CPs!$H$13</f>
        <v>0.2</v>
      </c>
      <c r="AY55" s="408">
        <f>Inputs_CPs!$I$13</f>
        <v>0.2</v>
      </c>
      <c r="AZ55" s="408">
        <f>Inputs_CPs!$N$13</f>
        <v>0.2</v>
      </c>
      <c r="BA55" s="408">
        <f>Inputs_CPs!$O$13</f>
        <v>0.2</v>
      </c>
      <c r="BB55" s="408">
        <f>Inputs_CPs!$K$13</f>
        <v>0.2</v>
      </c>
      <c r="BC55" s="408">
        <f>Inputs_CPs!$L$13</f>
        <v>0.2</v>
      </c>
      <c r="BD55" s="408">
        <f>Inputs_CPs!$M$13</f>
        <v>0.2</v>
      </c>
      <c r="BE55" s="264"/>
      <c r="BF55" s="739"/>
      <c r="BG55" s="411"/>
      <c r="BH55" s="264"/>
      <c r="BI55" s="263"/>
      <c r="BJ55" s="408">
        <f>Inputs_CPs!$F$13</f>
        <v>0.2</v>
      </c>
      <c r="BK55" s="408">
        <f>Inputs_CPs!$G$13</f>
        <v>0.2</v>
      </c>
      <c r="BL55" s="408">
        <f>Inputs_CPs!$H$13</f>
        <v>0.2</v>
      </c>
      <c r="BM55" s="408">
        <f>Inputs_CPs!$I$13</f>
        <v>0.2</v>
      </c>
      <c r="BN55" s="408">
        <f>Inputs_CPs!$N$13</f>
        <v>0.2</v>
      </c>
      <c r="BO55" s="408">
        <f>Inputs_CPs!$O$13</f>
        <v>0.2</v>
      </c>
      <c r="BP55" s="408">
        <f>Inputs_CPs!$K$13</f>
        <v>0.2</v>
      </c>
      <c r="BQ55" s="408">
        <f>Inputs_CPs!$L$13</f>
        <v>0.2</v>
      </c>
      <c r="BR55" s="408">
        <f>Inputs_CPs!$M$13</f>
        <v>0.2</v>
      </c>
      <c r="BS55" s="263"/>
    </row>
    <row r="56" spans="1:71" ht="24" customHeight="1" x14ac:dyDescent="0.2">
      <c r="A56" s="312"/>
      <c r="B56" s="401"/>
      <c r="C56" s="157"/>
      <c r="D56" s="461" t="s">
        <v>111</v>
      </c>
      <c r="E56" s="462" t="s">
        <v>147</v>
      </c>
      <c r="F56" s="463" t="s">
        <v>61</v>
      </c>
      <c r="G56" s="464" t="s">
        <v>50</v>
      </c>
      <c r="H56" s="465" t="s">
        <v>152</v>
      </c>
      <c r="I56" s="760" t="s">
        <v>505</v>
      </c>
      <c r="J56" s="453"/>
      <c r="K56" s="408">
        <v>0</v>
      </c>
      <c r="L56" s="408">
        <v>0</v>
      </c>
      <c r="M56" s="442" t="s">
        <v>420</v>
      </c>
      <c r="N56" s="264"/>
      <c r="O56" s="738" t="s">
        <v>394</v>
      </c>
      <c r="P56" s="264"/>
      <c r="Q56" s="264"/>
      <c r="R56" s="264"/>
      <c r="S56" s="410">
        <f t="shared" ref="S56:Y57" si="76">(1+CAPEX_Factor)*((SUMIFS(S$102:S$266,$E$102:$E$266,$E56,$H$102:$H$266,$H56)*(1-$K56))+(SUMIFS(S$271:S$364,$E$271:$E$364,$E56,$H$271:$H$364,$H56)*(1-$L56)))</f>
        <v>24.75</v>
      </c>
      <c r="T56" s="410">
        <f t="shared" si="76"/>
        <v>24.75</v>
      </c>
      <c r="U56" s="410">
        <f t="shared" si="76"/>
        <v>24.75</v>
      </c>
      <c r="V56" s="410">
        <f t="shared" si="76"/>
        <v>24.75</v>
      </c>
      <c r="W56" s="410">
        <f t="shared" si="76"/>
        <v>0</v>
      </c>
      <c r="X56" s="410">
        <f t="shared" si="76"/>
        <v>24.75</v>
      </c>
      <c r="Y56" s="410">
        <f t="shared" si="76"/>
        <v>12.375</v>
      </c>
      <c r="Z56" s="410">
        <f>(1+CAPEX_Factor)*((SUMIFS(Z$102:Z$266,$E$102:$E$266,$E56,$H$102:$H$266,$H56)*(1-$K56))+(SUMIFS(Z$271:Z$364,$E$271:$E$364,$E56,$H$271:$H$364,$H56)*(1-$L56)*TierA_TPI_BEefforts))</f>
        <v>0</v>
      </c>
      <c r="AA56" s="410">
        <f>(1+CAPEX_Factor)*((SUMIFS(AA$102:AA$266,$E$102:$E$266,$E56,$H$102:$H$266,$H56)*(1-$K56))+(SUMIFS(AA$271:AA$364,$E$271:$E$364,$E56,$H$271:$H$364,$H56)*(1-$L56)*TierA_TPI_BEefforts))</f>
        <v>12.375</v>
      </c>
      <c r="AB56" s="264"/>
      <c r="AC56" s="738" t="s">
        <v>394</v>
      </c>
      <c r="AD56" s="467"/>
      <c r="AE56" s="264"/>
      <c r="AF56" s="263"/>
      <c r="AG56" s="410">
        <f t="shared" ref="AG56:AM57" si="77">(1+CAPEX_Factor)*((SUMIFS(AG$102:AG$266,$E$102:$E$266,$E56,$H$102:$H$266,$H56)*(1-$K56))+(SUMIFS(AG$271:AG$364,$E$271:$E$364,$E56,$H$271:$H$364,$H56)*(1-$L56)))</f>
        <v>24.75</v>
      </c>
      <c r="AH56" s="410">
        <f t="shared" si="77"/>
        <v>24.75</v>
      </c>
      <c r="AI56" s="410">
        <f t="shared" si="77"/>
        <v>24.75</v>
      </c>
      <c r="AJ56" s="410">
        <f t="shared" si="77"/>
        <v>24.75</v>
      </c>
      <c r="AK56" s="410">
        <f t="shared" si="77"/>
        <v>0</v>
      </c>
      <c r="AL56" s="410">
        <f t="shared" si="77"/>
        <v>0</v>
      </c>
      <c r="AM56" s="410">
        <f t="shared" si="77"/>
        <v>12.375</v>
      </c>
      <c r="AN56" s="410">
        <f>(1+CAPEX_Factor)*((SUMIFS(AN$102:AN$266,$E$102:$E$266,$E56,$H$102:$H$266,$H56)*(1-$K56))+(SUMIFS(AN$271:AN$364,$E$271:$E$364,$E56,$H$271:$H$364,$H56)*(1-$L56)*TierA_TPI_BEefforts))</f>
        <v>0</v>
      </c>
      <c r="AO56" s="410">
        <f>(1+CAPEX_Factor)*((SUMIFS(AO$102:AO$266,$E$102:$E$266,$E56,$H$102:$H$266,$H56)*(1-$K56))+(SUMIFS(AO$271:AO$364,$E$271:$E$364,$E56,$H$271:$H$364,$H56)*(1-$L56)*TierA_TPI_BEefforts))</f>
        <v>12.375</v>
      </c>
      <c r="AP56" s="264"/>
      <c r="AQ56" s="264"/>
      <c r="AR56" s="738" t="s">
        <v>394</v>
      </c>
      <c r="AS56" s="454"/>
      <c r="AT56" s="264"/>
      <c r="AU56" s="263"/>
      <c r="AV56" s="410">
        <f t="shared" ref="AV56:BB57" si="78">(1+CAPEX_Factor)*((SUMIFS(AV$102:AV$266,$E$102:$E$266,$E56,$H$102:$H$266,$H56)*(1-$K56))+(SUMIFS(AV$271:AV$364,$E$271:$E$364,$E56,$H$271:$H$364,$H56)*(1-$L56)))</f>
        <v>24.75</v>
      </c>
      <c r="AW56" s="410">
        <f t="shared" si="78"/>
        <v>24.75</v>
      </c>
      <c r="AX56" s="410">
        <f t="shared" si="78"/>
        <v>24.75</v>
      </c>
      <c r="AY56" s="410">
        <f t="shared" si="78"/>
        <v>24.75</v>
      </c>
      <c r="AZ56" s="410">
        <f t="shared" si="78"/>
        <v>0</v>
      </c>
      <c r="BA56" s="410">
        <f t="shared" si="78"/>
        <v>24.75</v>
      </c>
      <c r="BB56" s="410">
        <f t="shared" si="78"/>
        <v>12.375</v>
      </c>
      <c r="BC56" s="410">
        <f>(1+CAPEX_Factor)*((SUMIFS(BC$102:BC$266,$E$102:$E$266,$E56,$H$102:$H$266,$H56)*(1-$K56))+(SUMIFS(BC$271:BC$364,$E$271:$E$364,$E56,$H$271:$H$364,$H56)*(1-$L56)*TierA_TPI_BEefforts))</f>
        <v>0</v>
      </c>
      <c r="BD56" s="410">
        <f>(1+CAPEX_Factor)*((SUMIFS(BD$102:BD$266,$E$102:$E$266,$E56,$H$102:$H$266,$H56)*(1-$K56))+(SUMIFS(BD$271:BD$364,$E$271:$E$364,$E56,$H$271:$H$364,$H56)*(1-$L56)*TierA_TPI_BEefforts))</f>
        <v>12.375</v>
      </c>
      <c r="BE56" s="264"/>
      <c r="BF56" s="738" t="s">
        <v>394</v>
      </c>
      <c r="BG56" s="454"/>
      <c r="BH56" s="264"/>
      <c r="BI56" s="263"/>
      <c r="BJ56" s="410">
        <f t="shared" ref="BJ56:BP57" si="79">(1+CAPEX_Factor)*((SUMIFS(BJ$102:BJ$266,$E$102:$E$266,$E56,$H$102:$H$266,$H56)*(1-$K56))+(SUMIFS(BJ$271:BJ$364,$E$271:$E$364,$E56,$H$271:$H$364,$H56)*(1-$L56)))</f>
        <v>24.75</v>
      </c>
      <c r="BK56" s="410">
        <f t="shared" si="79"/>
        <v>24.75</v>
      </c>
      <c r="BL56" s="410">
        <f t="shared" si="79"/>
        <v>24.75</v>
      </c>
      <c r="BM56" s="410">
        <f t="shared" si="79"/>
        <v>24.75</v>
      </c>
      <c r="BN56" s="410">
        <f t="shared" si="79"/>
        <v>0</v>
      </c>
      <c r="BO56" s="410">
        <f t="shared" si="79"/>
        <v>0</v>
      </c>
      <c r="BP56" s="410">
        <f t="shared" si="79"/>
        <v>12.375</v>
      </c>
      <c r="BQ56" s="410">
        <f>(1+CAPEX_Factor)*((SUMIFS(BQ$102:BQ$266,$E$102:$E$266,$E56,$H$102:$H$266,$H56)*(1-$K56))+(SUMIFS(BQ$271:BQ$364,$E$271:$E$364,$E56,$H$271:$H$364,$H56)*(1-$L56)*TierA_TPI_BEefforts))</f>
        <v>0</v>
      </c>
      <c r="BR56" s="410">
        <f>(1+CAPEX_Factor)*((SUMIFS(BR$102:BR$266,$E$102:$E$266,$E56,$H$102:$H$266,$H56)*(1-$K56))+(SUMIFS(BR$271:BR$364,$E$271:$E$364,$E56,$H$271:$H$364,$H56)*(1-$L56)*TierA_TPI_BEefforts))</f>
        <v>12.375</v>
      </c>
      <c r="BS56" s="263"/>
    </row>
    <row r="57" spans="1:71" ht="24" customHeight="1" x14ac:dyDescent="0.2">
      <c r="A57" s="312"/>
      <c r="B57" s="401"/>
      <c r="C57" s="157"/>
      <c r="D57" s="461" t="s">
        <v>111</v>
      </c>
      <c r="E57" s="462" t="s">
        <v>147</v>
      </c>
      <c r="F57" s="463" t="s">
        <v>30</v>
      </c>
      <c r="G57" s="468" t="s">
        <v>50</v>
      </c>
      <c r="H57" s="465" t="s">
        <v>119</v>
      </c>
      <c r="I57" s="760"/>
      <c r="J57" s="453"/>
      <c r="K57" s="408">
        <v>0</v>
      </c>
      <c r="L57" s="408">
        <v>0</v>
      </c>
      <c r="M57" s="442" t="s">
        <v>420</v>
      </c>
      <c r="N57" s="264"/>
      <c r="O57" s="738"/>
      <c r="P57" s="264"/>
      <c r="Q57" s="264"/>
      <c r="R57" s="264"/>
      <c r="S57" s="410">
        <f t="shared" si="76"/>
        <v>0</v>
      </c>
      <c r="T57" s="410">
        <f t="shared" si="76"/>
        <v>0</v>
      </c>
      <c r="U57" s="410">
        <f t="shared" si="76"/>
        <v>0</v>
      </c>
      <c r="V57" s="410">
        <f t="shared" si="76"/>
        <v>0</v>
      </c>
      <c r="W57" s="410">
        <f t="shared" si="76"/>
        <v>0</v>
      </c>
      <c r="X57" s="410">
        <f t="shared" si="76"/>
        <v>0</v>
      </c>
      <c r="Y57" s="410">
        <f t="shared" si="76"/>
        <v>0</v>
      </c>
      <c r="Z57" s="410">
        <f>(1+CAPEX_Factor)*((SUMIFS(Z$102:Z$266,$E$102:$E$266,$E57,$H$102:$H$266,$H57)*(1-$K57))+(SUMIFS(Z$271:Z$364,$E$271:$E$364,$E57,$H$271:$H$364,$H57)*(1-$L57)*TierA_TPI_BEefforts))</f>
        <v>0</v>
      </c>
      <c r="AA57" s="410">
        <f>(1+CAPEX_Factor)*((SUMIFS(AA$102:AA$266,$E$102:$E$266,$E57,$H$102:$H$266,$H57)*(1-$K57))+(SUMIFS(AA$271:AA$364,$E$271:$E$364,$E57,$H$271:$H$364,$H57)*(1-$L57)*TierA_TPI_BEefforts))</f>
        <v>0</v>
      </c>
      <c r="AB57" s="264"/>
      <c r="AC57" s="738"/>
      <c r="AD57" s="467"/>
      <c r="AE57" s="264"/>
      <c r="AF57" s="263"/>
      <c r="AG57" s="410">
        <f t="shared" si="77"/>
        <v>0</v>
      </c>
      <c r="AH57" s="410">
        <f t="shared" si="77"/>
        <v>0</v>
      </c>
      <c r="AI57" s="410">
        <f t="shared" si="77"/>
        <v>0</v>
      </c>
      <c r="AJ57" s="410">
        <f t="shared" si="77"/>
        <v>0</v>
      </c>
      <c r="AK57" s="410">
        <f t="shared" si="77"/>
        <v>0</v>
      </c>
      <c r="AL57" s="410">
        <f t="shared" si="77"/>
        <v>0</v>
      </c>
      <c r="AM57" s="410">
        <f t="shared" si="77"/>
        <v>0</v>
      </c>
      <c r="AN57" s="410">
        <f>(1+CAPEX_Factor)*((SUMIFS(AN$102:AN$266,$E$102:$E$266,$E57,$H$102:$H$266,$H57)*(1-$K57))+(SUMIFS(AN$271:AN$364,$E$271:$E$364,$E57,$H$271:$H$364,$H57)*(1-$L57)*TierA_TPI_BEefforts))</f>
        <v>0</v>
      </c>
      <c r="AO57" s="410">
        <f>(1+CAPEX_Factor)*((SUMIFS(AO$102:AO$266,$E$102:$E$266,$E57,$H$102:$H$266,$H57)*(1-$K57))+(SUMIFS(AO$271:AO$364,$E$271:$E$364,$E57,$H$271:$H$364,$H57)*(1-$L57)*TierA_TPI_BEefforts))</f>
        <v>0</v>
      </c>
      <c r="AP57" s="264"/>
      <c r="AQ57" s="264"/>
      <c r="AR57" s="738"/>
      <c r="AS57" s="454"/>
      <c r="AT57" s="264"/>
      <c r="AU57" s="263"/>
      <c r="AV57" s="410">
        <f t="shared" si="78"/>
        <v>0</v>
      </c>
      <c r="AW57" s="410">
        <f t="shared" si="78"/>
        <v>0</v>
      </c>
      <c r="AX57" s="410">
        <f t="shared" si="78"/>
        <v>0</v>
      </c>
      <c r="AY57" s="410">
        <f t="shared" si="78"/>
        <v>0</v>
      </c>
      <c r="AZ57" s="410">
        <f t="shared" si="78"/>
        <v>0</v>
      </c>
      <c r="BA57" s="410">
        <f t="shared" si="78"/>
        <v>0</v>
      </c>
      <c r="BB57" s="410">
        <f t="shared" si="78"/>
        <v>0</v>
      </c>
      <c r="BC57" s="410">
        <f>(1+CAPEX_Factor)*((SUMIFS(BC$102:BC$266,$E$102:$E$266,$E57,$H$102:$H$266,$H57)*(1-$K57))+(SUMIFS(BC$271:BC$364,$E$271:$E$364,$E57,$H$271:$H$364,$H57)*(1-$L57)*TierA_TPI_BEefforts))</f>
        <v>0</v>
      </c>
      <c r="BD57" s="410">
        <f>(1+CAPEX_Factor)*((SUMIFS(BD$102:BD$266,$E$102:$E$266,$E57,$H$102:$H$266,$H57)*(1-$K57))+(SUMIFS(BD$271:BD$364,$E$271:$E$364,$E57,$H$271:$H$364,$H57)*(1-$L57)*TierA_TPI_BEefforts))</f>
        <v>0</v>
      </c>
      <c r="BE57" s="264"/>
      <c r="BF57" s="738"/>
      <c r="BG57" s="454"/>
      <c r="BH57" s="264"/>
      <c r="BI57" s="263"/>
      <c r="BJ57" s="410">
        <f t="shared" si="79"/>
        <v>0</v>
      </c>
      <c r="BK57" s="410">
        <f t="shared" si="79"/>
        <v>0</v>
      </c>
      <c r="BL57" s="410">
        <f t="shared" si="79"/>
        <v>0</v>
      </c>
      <c r="BM57" s="410">
        <f t="shared" si="79"/>
        <v>0</v>
      </c>
      <c r="BN57" s="410">
        <f t="shared" si="79"/>
        <v>0</v>
      </c>
      <c r="BO57" s="410">
        <f t="shared" si="79"/>
        <v>0</v>
      </c>
      <c r="BP57" s="410">
        <f t="shared" si="79"/>
        <v>0</v>
      </c>
      <c r="BQ57" s="410">
        <f>(1+CAPEX_Factor)*((SUMIFS(BQ$102:BQ$266,$E$102:$E$266,$E57,$H$102:$H$266,$H57)*(1-$K57))+(SUMIFS(BQ$271:BQ$364,$E$271:$E$364,$E57,$H$271:$H$364,$H57)*(1-$L57)*TierA_TPI_BEefforts))</f>
        <v>0</v>
      </c>
      <c r="BR57" s="410">
        <f>(1+CAPEX_Factor)*((SUMIFS(BR$102:BR$266,$E$102:$E$266,$E57,$H$102:$H$266,$H57)*(1-$K57))+(SUMIFS(BR$271:BR$364,$E$271:$E$364,$E57,$H$271:$H$364,$H57)*(1-$L57)*TierA_TPI_BEefforts))</f>
        <v>0</v>
      </c>
      <c r="BS57" s="263"/>
    </row>
    <row r="58" spans="1:71" ht="24" customHeight="1" x14ac:dyDescent="0.2">
      <c r="A58" s="312"/>
      <c r="B58" s="401"/>
      <c r="C58" s="157"/>
      <c r="D58" s="461" t="s">
        <v>111</v>
      </c>
      <c r="E58" s="462" t="s">
        <v>147</v>
      </c>
      <c r="F58" s="469" t="s">
        <v>49</v>
      </c>
      <c r="G58" s="468" t="s">
        <v>47</v>
      </c>
      <c r="H58" s="465" t="s">
        <v>120</v>
      </c>
      <c r="I58" s="760"/>
      <c r="J58" s="453"/>
      <c r="K58" s="408" t="s">
        <v>58</v>
      </c>
      <c r="L58" s="408" t="s">
        <v>58</v>
      </c>
      <c r="M58" s="442"/>
      <c r="N58" s="264"/>
      <c r="O58" s="738"/>
      <c r="P58" s="264"/>
      <c r="Q58" s="264"/>
      <c r="R58" s="264"/>
      <c r="S58" s="408">
        <f>Inputs_CPs!$F$13</f>
        <v>0.2</v>
      </c>
      <c r="T58" s="408">
        <f>Inputs_CPs!$G$13</f>
        <v>0.2</v>
      </c>
      <c r="U58" s="408">
        <f>Inputs_CPs!$H$13</f>
        <v>0.2</v>
      </c>
      <c r="V58" s="408">
        <f>Inputs_CPs!$I$13</f>
        <v>0.2</v>
      </c>
      <c r="W58" s="408">
        <f>Inputs_CPs!$N$13</f>
        <v>0.2</v>
      </c>
      <c r="X58" s="408">
        <f>Inputs_CPs!$O$13</f>
        <v>0.2</v>
      </c>
      <c r="Y58" s="408">
        <f>Inputs_CPs!$K$13</f>
        <v>0.2</v>
      </c>
      <c r="Z58" s="408">
        <f>Inputs_CPs!$L$13</f>
        <v>0.2</v>
      </c>
      <c r="AA58" s="408">
        <f>Inputs_CPs!$M$13</f>
        <v>0.2</v>
      </c>
      <c r="AB58" s="264"/>
      <c r="AC58" s="738"/>
      <c r="AD58" s="467"/>
      <c r="AE58" s="264"/>
      <c r="AF58" s="263"/>
      <c r="AG58" s="408">
        <f>Inputs_CPs!$F$13</f>
        <v>0.2</v>
      </c>
      <c r="AH58" s="408">
        <f>Inputs_CPs!$G$13</f>
        <v>0.2</v>
      </c>
      <c r="AI58" s="408">
        <f>Inputs_CPs!$H$13</f>
        <v>0.2</v>
      </c>
      <c r="AJ58" s="408">
        <f>Inputs_CPs!$I$13</f>
        <v>0.2</v>
      </c>
      <c r="AK58" s="408">
        <f>Inputs_CPs!$N$13</f>
        <v>0.2</v>
      </c>
      <c r="AL58" s="408">
        <f>Inputs_CPs!$O$13</f>
        <v>0.2</v>
      </c>
      <c r="AM58" s="408">
        <f>Inputs_CPs!$K$13</f>
        <v>0.2</v>
      </c>
      <c r="AN58" s="408">
        <f>Inputs_CPs!$L$13</f>
        <v>0.2</v>
      </c>
      <c r="AO58" s="408">
        <f>Inputs_CPs!$M$13</f>
        <v>0.2</v>
      </c>
      <c r="AP58" s="264"/>
      <c r="AQ58" s="264"/>
      <c r="AR58" s="738"/>
      <c r="AS58" s="454"/>
      <c r="AT58" s="264"/>
      <c r="AU58" s="263"/>
      <c r="AV58" s="408">
        <f>Inputs_CPs!$F$13</f>
        <v>0.2</v>
      </c>
      <c r="AW58" s="408">
        <f>Inputs_CPs!$G$13</f>
        <v>0.2</v>
      </c>
      <c r="AX58" s="408">
        <f>Inputs_CPs!$H$13</f>
        <v>0.2</v>
      </c>
      <c r="AY58" s="408">
        <f>Inputs_CPs!$I$13</f>
        <v>0.2</v>
      </c>
      <c r="AZ58" s="408">
        <f>Inputs_CPs!$N$13</f>
        <v>0.2</v>
      </c>
      <c r="BA58" s="408">
        <f>Inputs_CPs!$O$13</f>
        <v>0.2</v>
      </c>
      <c r="BB58" s="408">
        <f>Inputs_CPs!$K$13</f>
        <v>0.2</v>
      </c>
      <c r="BC58" s="408">
        <f>Inputs_CPs!$L$13</f>
        <v>0.2</v>
      </c>
      <c r="BD58" s="408">
        <f>Inputs_CPs!$M$13</f>
        <v>0.2</v>
      </c>
      <c r="BE58" s="264"/>
      <c r="BF58" s="738"/>
      <c r="BG58" s="454"/>
      <c r="BH58" s="264"/>
      <c r="BI58" s="263"/>
      <c r="BJ58" s="408">
        <f>Inputs_CPs!$F$13</f>
        <v>0.2</v>
      </c>
      <c r="BK58" s="408">
        <f>Inputs_CPs!$G$13</f>
        <v>0.2</v>
      </c>
      <c r="BL58" s="408">
        <f>Inputs_CPs!$H$13</f>
        <v>0.2</v>
      </c>
      <c r="BM58" s="408">
        <f>Inputs_CPs!$I$13</f>
        <v>0.2</v>
      </c>
      <c r="BN58" s="408">
        <f>Inputs_CPs!$N$13</f>
        <v>0.2</v>
      </c>
      <c r="BO58" s="408">
        <f>Inputs_CPs!$O$13</f>
        <v>0.2</v>
      </c>
      <c r="BP58" s="408">
        <f>Inputs_CPs!$K$13</f>
        <v>0.2</v>
      </c>
      <c r="BQ58" s="408">
        <f>Inputs_CPs!$L$13</f>
        <v>0.2</v>
      </c>
      <c r="BR58" s="408">
        <f>Inputs_CPs!$M$13</f>
        <v>0.2</v>
      </c>
      <c r="BS58" s="263"/>
    </row>
    <row r="59" spans="1:71" ht="24" customHeight="1" x14ac:dyDescent="0.2">
      <c r="A59" s="312"/>
      <c r="B59" s="401"/>
      <c r="C59" s="157"/>
      <c r="D59" s="455" t="s">
        <v>111</v>
      </c>
      <c r="E59" s="456" t="s">
        <v>144</v>
      </c>
      <c r="F59" s="457" t="s">
        <v>61</v>
      </c>
      <c r="G59" s="470" t="s">
        <v>50</v>
      </c>
      <c r="H59" s="459" t="s">
        <v>152</v>
      </c>
      <c r="I59" s="759" t="s">
        <v>247</v>
      </c>
      <c r="J59" s="453"/>
      <c r="K59" s="408">
        <v>0</v>
      </c>
      <c r="L59" s="408">
        <f>Inputs_Estimates!$F$29</f>
        <v>0.7</v>
      </c>
      <c r="M59" s="439"/>
      <c r="N59" s="264"/>
      <c r="O59" s="739" t="s">
        <v>395</v>
      </c>
      <c r="P59" s="264"/>
      <c r="Q59" s="264"/>
      <c r="R59" s="264"/>
      <c r="S59" s="410">
        <f t="shared" ref="S59:Y60" si="80">(1+CAPEX_Factor)*((SUMIFS(S$102:S$266,$E$102:$E$266,$E59,$H$102:$H$266,$H59)*(1-$K59))+(SUMIFS(S$271:S$364,$E$271:$E$364,$E59,$H$271:$H$364,$H59)*(1-$L59)))</f>
        <v>79.200000000000017</v>
      </c>
      <c r="T59" s="410">
        <f t="shared" si="80"/>
        <v>118.80000000000001</v>
      </c>
      <c r="U59" s="410">
        <f t="shared" si="80"/>
        <v>79.200000000000017</v>
      </c>
      <c r="V59" s="410">
        <f t="shared" si="80"/>
        <v>79.200000000000017</v>
      </c>
      <c r="W59" s="410">
        <f t="shared" si="80"/>
        <v>217.80000000000007</v>
      </c>
      <c r="X59" s="410">
        <f t="shared" si="80"/>
        <v>79.200000000000017</v>
      </c>
      <c r="Y59" s="410">
        <f t="shared" si="80"/>
        <v>39.600000000000009</v>
      </c>
      <c r="Z59" s="410">
        <f>(1+CAPEX_Factor)*((SUMIFS(Z$102:Z$266,$E$102:$E$266,$E59,$H$102:$H$266,$H59)*(1-$K59))+(SUMIFS(Z$271:Z$364,$E$271:$E$364,$E59,$H$271:$H$364,$H59)*(1-$L59)*TierA_TPI_BEefforts))</f>
        <v>0</v>
      </c>
      <c r="AA59" s="410">
        <f>(1+CAPEX_Factor)*((SUMIFS(AA$102:AA$266,$E$102:$E$266,$E59,$H$102:$H$266,$H59)*(1-$K59))+(SUMIFS(AA$271:AA$364,$E$271:$E$364,$E59,$H$271:$H$364,$H59)*(1-$L59)*TierA_TPI_BEefforts))</f>
        <v>39.600000000000009</v>
      </c>
      <c r="AB59" s="264"/>
      <c r="AC59" s="739" t="s">
        <v>395</v>
      </c>
      <c r="AD59" s="467"/>
      <c r="AE59" s="264"/>
      <c r="AF59" s="263"/>
      <c r="AG59" s="410">
        <f t="shared" ref="AG59:AM60" si="81">(1+CAPEX_Factor)*((SUMIFS(AG$102:AG$266,$E$102:$E$266,$E59,$H$102:$H$266,$H59)*(1-$K59))+(SUMIFS(AG$271:AG$364,$E$271:$E$364,$E59,$H$271:$H$364,$H59)*(1-$L59)))</f>
        <v>95.287500000000037</v>
      </c>
      <c r="AH59" s="410">
        <f t="shared" si="81"/>
        <v>95.287500000000037</v>
      </c>
      <c r="AI59" s="410">
        <f t="shared" si="81"/>
        <v>95.287500000000037</v>
      </c>
      <c r="AJ59" s="410">
        <f t="shared" si="81"/>
        <v>95.287500000000037</v>
      </c>
      <c r="AK59" s="410">
        <f t="shared" si="81"/>
        <v>0</v>
      </c>
      <c r="AL59" s="410">
        <f t="shared" si="81"/>
        <v>0</v>
      </c>
      <c r="AM59" s="410">
        <f t="shared" si="81"/>
        <v>47.643750000000018</v>
      </c>
      <c r="AN59" s="410">
        <f>(1+CAPEX_Factor)*((SUMIFS(AN$102:AN$266,$E$102:$E$266,$E59,$H$102:$H$266,$H59)*(1-$K59))+(SUMIFS(AN$271:AN$364,$E$271:$E$364,$E59,$H$271:$H$364,$H59)*(1-$L59)*TierA_TPI_BEefforts))</f>
        <v>0</v>
      </c>
      <c r="AO59" s="410">
        <f>(1+CAPEX_Factor)*((SUMIFS(AO$102:AO$266,$E$102:$E$266,$E59,$H$102:$H$266,$H59)*(1-$K59))+(SUMIFS(AO$271:AO$364,$E$271:$E$364,$E59,$H$271:$H$364,$H59)*(1-$L59)*TierA_TPI_BEefforts))</f>
        <v>47.643750000000018</v>
      </c>
      <c r="AP59" s="264"/>
      <c r="AQ59" s="264"/>
      <c r="AR59" s="739" t="s">
        <v>395</v>
      </c>
      <c r="AS59" s="411"/>
      <c r="AT59" s="264"/>
      <c r="AU59" s="263"/>
      <c r="AV59" s="410">
        <f t="shared" ref="AV59:BB60" si="82">(1+CAPEX_Factor)*((SUMIFS(AV$102:AV$266,$E$102:$E$266,$E59,$H$102:$H$266,$H59)*(1-$K59))+(SUMIFS(AV$271:AV$364,$E$271:$E$364,$E59,$H$271:$H$364,$H59)*(1-$L59)))</f>
        <v>79.200000000000017</v>
      </c>
      <c r="AW59" s="410">
        <f t="shared" si="82"/>
        <v>118.80000000000001</v>
      </c>
      <c r="AX59" s="410">
        <f t="shared" si="82"/>
        <v>79.200000000000017</v>
      </c>
      <c r="AY59" s="410">
        <f t="shared" si="82"/>
        <v>79.200000000000017</v>
      </c>
      <c r="AZ59" s="410">
        <f t="shared" si="82"/>
        <v>217.80000000000007</v>
      </c>
      <c r="BA59" s="410">
        <f t="shared" si="82"/>
        <v>79.200000000000017</v>
      </c>
      <c r="BB59" s="410">
        <f t="shared" si="82"/>
        <v>39.600000000000009</v>
      </c>
      <c r="BC59" s="410">
        <f>(1+CAPEX_Factor)*((SUMIFS(BC$102:BC$266,$E$102:$E$266,$E59,$H$102:$H$266,$H59)*(1-$K59))+(SUMIFS(BC$271:BC$364,$E$271:$E$364,$E59,$H$271:$H$364,$H59)*(1-$L59)*TierA_TPI_BEefforts))</f>
        <v>0</v>
      </c>
      <c r="BD59" s="410">
        <f>(1+CAPEX_Factor)*((SUMIFS(BD$102:BD$266,$E$102:$E$266,$E59,$H$102:$H$266,$H59)*(1-$K59))+(SUMIFS(BD$271:BD$364,$E$271:$E$364,$E59,$H$271:$H$364,$H59)*(1-$L59)*TierA_TPI_BEefforts))</f>
        <v>39.600000000000009</v>
      </c>
      <c r="BE59" s="264"/>
      <c r="BF59" s="739" t="s">
        <v>395</v>
      </c>
      <c r="BG59" s="411"/>
      <c r="BH59" s="264"/>
      <c r="BI59" s="263"/>
      <c r="BJ59" s="410">
        <f t="shared" ref="BJ59:BP60" si="83">(1+CAPEX_Factor)*((SUMIFS(BJ$102:BJ$266,$E$102:$E$266,$E59,$H$102:$H$266,$H59)*(1-$K59))+(SUMIFS(BJ$271:BJ$364,$E$271:$E$364,$E59,$H$271:$H$364,$H59)*(1-$L59)))</f>
        <v>95.287500000000037</v>
      </c>
      <c r="BK59" s="410">
        <f t="shared" si="83"/>
        <v>95.287500000000037</v>
      </c>
      <c r="BL59" s="410">
        <f t="shared" si="83"/>
        <v>95.287500000000037</v>
      </c>
      <c r="BM59" s="410">
        <f t="shared" si="83"/>
        <v>95.287500000000037</v>
      </c>
      <c r="BN59" s="410">
        <f t="shared" si="83"/>
        <v>0</v>
      </c>
      <c r="BO59" s="410">
        <f t="shared" si="83"/>
        <v>0</v>
      </c>
      <c r="BP59" s="410">
        <f t="shared" si="83"/>
        <v>47.643750000000018</v>
      </c>
      <c r="BQ59" s="410">
        <f>(1+CAPEX_Factor)*((SUMIFS(BQ$102:BQ$266,$E$102:$E$266,$E59,$H$102:$H$266,$H59)*(1-$K59))+(SUMIFS(BQ$271:BQ$364,$E$271:$E$364,$E59,$H$271:$H$364,$H59)*(1-$L59)*TierA_TPI_BEefforts))</f>
        <v>0</v>
      </c>
      <c r="BR59" s="410">
        <f>(1+CAPEX_Factor)*((SUMIFS(BR$102:BR$266,$E$102:$E$266,$E59,$H$102:$H$266,$H59)*(1-$K59))+(SUMIFS(BR$271:BR$364,$E$271:$E$364,$E59,$H$271:$H$364,$H59)*(1-$L59)*TierA_TPI_BEefforts))</f>
        <v>47.643750000000018</v>
      </c>
      <c r="BS59" s="263"/>
    </row>
    <row r="60" spans="1:71" ht="24" customHeight="1" x14ac:dyDescent="0.2">
      <c r="A60" s="312"/>
      <c r="B60" s="401"/>
      <c r="C60" s="157"/>
      <c r="D60" s="455" t="s">
        <v>111</v>
      </c>
      <c r="E60" s="456" t="s">
        <v>144</v>
      </c>
      <c r="F60" s="457" t="s">
        <v>30</v>
      </c>
      <c r="G60" s="458" t="s">
        <v>50</v>
      </c>
      <c r="H60" s="459" t="s">
        <v>119</v>
      </c>
      <c r="I60" s="759"/>
      <c r="J60" s="453"/>
      <c r="K60" s="408">
        <v>0</v>
      </c>
      <c r="L60" s="408">
        <f>Inputs_Estimates!$F$30</f>
        <v>0.66666666666666674</v>
      </c>
      <c r="M60" s="439" t="s">
        <v>231</v>
      </c>
      <c r="N60" s="264"/>
      <c r="O60" s="739"/>
      <c r="P60" s="264"/>
      <c r="Q60" s="264"/>
      <c r="R60" s="264"/>
      <c r="S60" s="410">
        <f t="shared" si="80"/>
        <v>0</v>
      </c>
      <c r="T60" s="410">
        <f t="shared" si="80"/>
        <v>0</v>
      </c>
      <c r="U60" s="410">
        <f t="shared" si="80"/>
        <v>0</v>
      </c>
      <c r="V60" s="410">
        <f t="shared" si="80"/>
        <v>0</v>
      </c>
      <c r="W60" s="410">
        <f t="shared" si="80"/>
        <v>0</v>
      </c>
      <c r="X60" s="410">
        <f t="shared" si="80"/>
        <v>0</v>
      </c>
      <c r="Y60" s="410">
        <f t="shared" si="80"/>
        <v>0</v>
      </c>
      <c r="Z60" s="410">
        <f>(1+CAPEX_Factor)*((SUMIFS(Z$102:Z$266,$E$102:$E$266,$E60,$H$102:$H$266,$H60)*(1-$K60))+(SUMIFS(Z$271:Z$364,$E$271:$E$364,$E60,$H$271:$H$364,$H60)*(1-$L60)*TierA_TPI_BEefforts))</f>
        <v>0</v>
      </c>
      <c r="AA60" s="410">
        <f>(1+CAPEX_Factor)*((SUMIFS(AA$102:AA$266,$E$102:$E$266,$E60,$H$102:$H$266,$H60)*(1-$K60))+(SUMIFS(AA$271:AA$364,$E$271:$E$364,$E60,$H$271:$H$364,$H60)*(1-$L60)*TierA_TPI_BEefforts))</f>
        <v>0</v>
      </c>
      <c r="AB60" s="264"/>
      <c r="AC60" s="739"/>
      <c r="AD60" s="467"/>
      <c r="AE60" s="264"/>
      <c r="AF60" s="263"/>
      <c r="AG60" s="410">
        <f t="shared" si="81"/>
        <v>0</v>
      </c>
      <c r="AH60" s="410">
        <f t="shared" si="81"/>
        <v>0</v>
      </c>
      <c r="AI60" s="410">
        <f t="shared" si="81"/>
        <v>0</v>
      </c>
      <c r="AJ60" s="410">
        <f t="shared" si="81"/>
        <v>0</v>
      </c>
      <c r="AK60" s="410">
        <f t="shared" si="81"/>
        <v>0</v>
      </c>
      <c r="AL60" s="410">
        <f t="shared" si="81"/>
        <v>0</v>
      </c>
      <c r="AM60" s="410">
        <f t="shared" si="81"/>
        <v>0</v>
      </c>
      <c r="AN60" s="410">
        <f>(1+CAPEX_Factor)*((SUMIFS(AN$102:AN$266,$E$102:$E$266,$E60,$H$102:$H$266,$H60)*(1-$K60))+(SUMIFS(AN$271:AN$364,$E$271:$E$364,$E60,$H$271:$H$364,$H60)*(1-$L60)*TierA_TPI_BEefforts))</f>
        <v>0</v>
      </c>
      <c r="AO60" s="410">
        <f>(1+CAPEX_Factor)*((SUMIFS(AO$102:AO$266,$E$102:$E$266,$E60,$H$102:$H$266,$H60)*(1-$K60))+(SUMIFS(AO$271:AO$364,$E$271:$E$364,$E60,$H$271:$H$364,$H60)*(1-$L60)*TierA_TPI_BEefforts))</f>
        <v>0</v>
      </c>
      <c r="AP60" s="264"/>
      <c r="AQ60" s="264"/>
      <c r="AR60" s="739"/>
      <c r="AS60" s="411"/>
      <c r="AT60" s="264"/>
      <c r="AU60" s="263"/>
      <c r="AV60" s="410">
        <f t="shared" si="82"/>
        <v>0</v>
      </c>
      <c r="AW60" s="410">
        <f t="shared" si="82"/>
        <v>0</v>
      </c>
      <c r="AX60" s="410">
        <f t="shared" si="82"/>
        <v>0</v>
      </c>
      <c r="AY60" s="410">
        <f t="shared" si="82"/>
        <v>0</v>
      </c>
      <c r="AZ60" s="410">
        <f t="shared" si="82"/>
        <v>0</v>
      </c>
      <c r="BA60" s="410">
        <f t="shared" si="82"/>
        <v>0</v>
      </c>
      <c r="BB60" s="410">
        <f t="shared" si="82"/>
        <v>0</v>
      </c>
      <c r="BC60" s="410">
        <f>(1+CAPEX_Factor)*((SUMIFS(BC$102:BC$266,$E$102:$E$266,$E60,$H$102:$H$266,$H60)*(1-$K60))+(SUMIFS(BC$271:BC$364,$E$271:$E$364,$E60,$H$271:$H$364,$H60)*(1-$L60)*TierA_TPI_BEefforts))</f>
        <v>0</v>
      </c>
      <c r="BD60" s="410">
        <f>(1+CAPEX_Factor)*((SUMIFS(BD$102:BD$266,$E$102:$E$266,$E60,$H$102:$H$266,$H60)*(1-$K60))+(SUMIFS(BD$271:BD$364,$E$271:$E$364,$E60,$H$271:$H$364,$H60)*(1-$L60)*TierA_TPI_BEefforts))</f>
        <v>0</v>
      </c>
      <c r="BE60" s="264"/>
      <c r="BF60" s="739"/>
      <c r="BG60" s="411"/>
      <c r="BH60" s="264"/>
      <c r="BI60" s="263"/>
      <c r="BJ60" s="410">
        <f t="shared" si="83"/>
        <v>0</v>
      </c>
      <c r="BK60" s="410">
        <f t="shared" si="83"/>
        <v>0</v>
      </c>
      <c r="BL60" s="410">
        <f t="shared" si="83"/>
        <v>0</v>
      </c>
      <c r="BM60" s="410">
        <f t="shared" si="83"/>
        <v>0</v>
      </c>
      <c r="BN60" s="410">
        <f t="shared" si="83"/>
        <v>0</v>
      </c>
      <c r="BO60" s="410">
        <f t="shared" si="83"/>
        <v>0</v>
      </c>
      <c r="BP60" s="410">
        <f t="shared" si="83"/>
        <v>0</v>
      </c>
      <c r="BQ60" s="410">
        <f>(1+CAPEX_Factor)*((SUMIFS(BQ$102:BQ$266,$E$102:$E$266,$E60,$H$102:$H$266,$H60)*(1-$K60))+(SUMIFS(BQ$271:BQ$364,$E$271:$E$364,$E60,$H$271:$H$364,$H60)*(1-$L60)*TierA_TPI_BEefforts))</f>
        <v>0</v>
      </c>
      <c r="BR60" s="410">
        <f>(1+CAPEX_Factor)*((SUMIFS(BR$102:BR$266,$E$102:$E$266,$E60,$H$102:$H$266,$H60)*(1-$K60))+(SUMIFS(BR$271:BR$364,$E$271:$E$364,$E60,$H$271:$H$364,$H60)*(1-$L60)*TierA_TPI_BEefforts))</f>
        <v>0</v>
      </c>
      <c r="BS60" s="263"/>
    </row>
    <row r="61" spans="1:71" ht="24" customHeight="1" x14ac:dyDescent="0.2">
      <c r="A61" s="312"/>
      <c r="B61" s="401"/>
      <c r="C61" s="157"/>
      <c r="D61" s="455" t="s">
        <v>111</v>
      </c>
      <c r="E61" s="456" t="s">
        <v>144</v>
      </c>
      <c r="F61" s="460" t="s">
        <v>49</v>
      </c>
      <c r="G61" s="458" t="s">
        <v>47</v>
      </c>
      <c r="H61" s="459" t="s">
        <v>120</v>
      </c>
      <c r="I61" s="759"/>
      <c r="J61" s="453"/>
      <c r="K61" s="408" t="s">
        <v>58</v>
      </c>
      <c r="L61" s="408" t="s">
        <v>58</v>
      </c>
      <c r="M61" s="439"/>
      <c r="N61" s="264"/>
      <c r="O61" s="739"/>
      <c r="P61" s="264"/>
      <c r="Q61" s="264"/>
      <c r="R61" s="264"/>
      <c r="S61" s="408">
        <f>Inputs_CPs!$F$13</f>
        <v>0.2</v>
      </c>
      <c r="T61" s="408">
        <f>Inputs_CPs!$G$13</f>
        <v>0.2</v>
      </c>
      <c r="U61" s="408">
        <f>Inputs_CPs!$H$13</f>
        <v>0.2</v>
      </c>
      <c r="V61" s="408">
        <f>Inputs_CPs!$I$13</f>
        <v>0.2</v>
      </c>
      <c r="W61" s="408">
        <f>Inputs_CPs!$N$13</f>
        <v>0.2</v>
      </c>
      <c r="X61" s="408">
        <f>Inputs_CPs!$O$13</f>
        <v>0.2</v>
      </c>
      <c r="Y61" s="408">
        <f>Inputs_CPs!$K$13</f>
        <v>0.2</v>
      </c>
      <c r="Z61" s="408">
        <f>Inputs_CPs!$L$13</f>
        <v>0.2</v>
      </c>
      <c r="AA61" s="408">
        <f>Inputs_CPs!$M$13</f>
        <v>0.2</v>
      </c>
      <c r="AB61" s="264"/>
      <c r="AC61" s="739"/>
      <c r="AD61" s="467"/>
      <c r="AE61" s="264"/>
      <c r="AF61" s="263"/>
      <c r="AG61" s="408">
        <f>Inputs_CPs!$F$13</f>
        <v>0.2</v>
      </c>
      <c r="AH61" s="408">
        <f>Inputs_CPs!$G$13</f>
        <v>0.2</v>
      </c>
      <c r="AI61" s="408">
        <f>Inputs_CPs!$H$13</f>
        <v>0.2</v>
      </c>
      <c r="AJ61" s="408">
        <f>Inputs_CPs!$I$13</f>
        <v>0.2</v>
      </c>
      <c r="AK61" s="408">
        <f>Inputs_CPs!$N$13</f>
        <v>0.2</v>
      </c>
      <c r="AL61" s="408">
        <f>Inputs_CPs!$O$13</f>
        <v>0.2</v>
      </c>
      <c r="AM61" s="408">
        <f>Inputs_CPs!$K$13</f>
        <v>0.2</v>
      </c>
      <c r="AN61" s="408">
        <f>Inputs_CPs!$L$13</f>
        <v>0.2</v>
      </c>
      <c r="AO61" s="408">
        <f>Inputs_CPs!$M$13</f>
        <v>0.2</v>
      </c>
      <c r="AP61" s="264"/>
      <c r="AQ61" s="264"/>
      <c r="AR61" s="739"/>
      <c r="AS61" s="411"/>
      <c r="AT61" s="264"/>
      <c r="AU61" s="263"/>
      <c r="AV61" s="408">
        <f>Inputs_CPs!$F$13</f>
        <v>0.2</v>
      </c>
      <c r="AW61" s="408">
        <f>Inputs_CPs!$G$13</f>
        <v>0.2</v>
      </c>
      <c r="AX61" s="408">
        <f>Inputs_CPs!$H$13</f>
        <v>0.2</v>
      </c>
      <c r="AY61" s="408">
        <f>Inputs_CPs!$I$13</f>
        <v>0.2</v>
      </c>
      <c r="AZ61" s="408">
        <f>Inputs_CPs!$N$13</f>
        <v>0.2</v>
      </c>
      <c r="BA61" s="408">
        <f>Inputs_CPs!$O$13</f>
        <v>0.2</v>
      </c>
      <c r="BB61" s="408">
        <f>Inputs_CPs!$K$13</f>
        <v>0.2</v>
      </c>
      <c r="BC61" s="408">
        <f>Inputs_CPs!$L$13</f>
        <v>0.2</v>
      </c>
      <c r="BD61" s="408">
        <f>Inputs_CPs!$M$13</f>
        <v>0.2</v>
      </c>
      <c r="BE61" s="264"/>
      <c r="BF61" s="739"/>
      <c r="BG61" s="411"/>
      <c r="BH61" s="264"/>
      <c r="BI61" s="263"/>
      <c r="BJ61" s="408">
        <f>Inputs_CPs!$F$13</f>
        <v>0.2</v>
      </c>
      <c r="BK61" s="408">
        <f>Inputs_CPs!$G$13</f>
        <v>0.2</v>
      </c>
      <c r="BL61" s="408">
        <f>Inputs_CPs!$H$13</f>
        <v>0.2</v>
      </c>
      <c r="BM61" s="408">
        <f>Inputs_CPs!$I$13</f>
        <v>0.2</v>
      </c>
      <c r="BN61" s="408">
        <f>Inputs_CPs!$N$13</f>
        <v>0.2</v>
      </c>
      <c r="BO61" s="408">
        <f>Inputs_CPs!$O$13</f>
        <v>0.2</v>
      </c>
      <c r="BP61" s="408">
        <f>Inputs_CPs!$K$13</f>
        <v>0.2</v>
      </c>
      <c r="BQ61" s="408">
        <f>Inputs_CPs!$L$13</f>
        <v>0.2</v>
      </c>
      <c r="BR61" s="408">
        <f>Inputs_CPs!$M$13</f>
        <v>0.2</v>
      </c>
      <c r="BS61" s="263"/>
    </row>
    <row r="62" spans="1:71" ht="24" customHeight="1" x14ac:dyDescent="0.2">
      <c r="A62" s="312"/>
      <c r="B62" s="401"/>
      <c r="C62" s="157"/>
      <c r="D62" s="461" t="s">
        <v>111</v>
      </c>
      <c r="E62" s="462" t="s">
        <v>114</v>
      </c>
      <c r="F62" s="469" t="s">
        <v>61</v>
      </c>
      <c r="G62" s="468" t="s">
        <v>50</v>
      </c>
      <c r="H62" s="465" t="s">
        <v>152</v>
      </c>
      <c r="I62" s="760" t="s">
        <v>506</v>
      </c>
      <c r="J62" s="453"/>
      <c r="K62" s="408">
        <v>0</v>
      </c>
      <c r="L62" s="408">
        <v>0</v>
      </c>
      <c r="M62" s="442" t="s">
        <v>420</v>
      </c>
      <c r="N62" s="264"/>
      <c r="O62" s="738" t="s">
        <v>405</v>
      </c>
      <c r="P62" s="264"/>
      <c r="Q62" s="264"/>
      <c r="R62" s="264"/>
      <c r="S62" s="410">
        <f t="shared" ref="S62:Y63" si="84">(1+CAPEX_Factor)*((SUMIFS(S$102:S$266,$E$102:$E$266,$E62,$H$102:$H$266,$H62)*(1-$K62))+(SUMIFS(S$271:S$364,$E$271:$E$364,$E62,$H$271:$H$364,$H62)*(1-$L62)))</f>
        <v>0</v>
      </c>
      <c r="T62" s="410">
        <f t="shared" si="84"/>
        <v>0</v>
      </c>
      <c r="U62" s="410">
        <f t="shared" si="84"/>
        <v>0</v>
      </c>
      <c r="V62" s="410">
        <f t="shared" si="84"/>
        <v>0</v>
      </c>
      <c r="W62" s="410">
        <f t="shared" si="84"/>
        <v>0</v>
      </c>
      <c r="X62" s="410">
        <f t="shared" si="84"/>
        <v>0</v>
      </c>
      <c r="Y62" s="410">
        <f t="shared" si="84"/>
        <v>0</v>
      </c>
      <c r="Z62" s="410">
        <f>(1+CAPEX_Factor)*((SUMIFS(Z$102:Z$266,$E$102:$E$266,$E62,$H$102:$H$266,$H62)*(1-$K62))+(SUMIFS(Z$271:Z$364,$E$271:$E$364,$E62,$H$271:$H$364,$H62)*(1-$L62)*TierA_TPI_BEefforts))</f>
        <v>0</v>
      </c>
      <c r="AA62" s="410">
        <f>(1+CAPEX_Factor)*((SUMIFS(AA$102:AA$266,$E$102:$E$266,$E62,$H$102:$H$266,$H62)*(1-$K62))+(SUMIFS(AA$271:AA$364,$E$271:$E$364,$E62,$H$271:$H$364,$H62)*(1-$L62)*TierA_TPI_BEefforts))</f>
        <v>0</v>
      </c>
      <c r="AB62" s="264"/>
      <c r="AC62" s="738" t="s">
        <v>396</v>
      </c>
      <c r="AD62" s="467"/>
      <c r="AE62" s="264"/>
      <c r="AF62" s="263"/>
      <c r="AG62" s="410">
        <f t="shared" ref="AG62:AM63" si="85">(1+CAPEX_Factor)*((SUMIFS(AG$102:AG$266,$E$102:$E$266,$E62,$H$102:$H$266,$H62)*(1-$K62))+(SUMIFS(AG$271:AG$364,$E$271:$E$364,$E62,$H$271:$H$364,$H62)*(1-$L62)))</f>
        <v>0</v>
      </c>
      <c r="AH62" s="410">
        <f t="shared" si="85"/>
        <v>0</v>
      </c>
      <c r="AI62" s="410">
        <f t="shared" si="85"/>
        <v>0</v>
      </c>
      <c r="AJ62" s="410">
        <f t="shared" si="85"/>
        <v>0</v>
      </c>
      <c r="AK62" s="410">
        <f t="shared" si="85"/>
        <v>0</v>
      </c>
      <c r="AL62" s="410">
        <f t="shared" si="85"/>
        <v>0</v>
      </c>
      <c r="AM62" s="410">
        <f t="shared" si="85"/>
        <v>0</v>
      </c>
      <c r="AN62" s="410">
        <f>(1+CAPEX_Factor)*((SUMIFS(AN$102:AN$266,$E$102:$E$266,$E62,$H$102:$H$266,$H62)*(1-$K62))+(SUMIFS(AN$271:AN$364,$E$271:$E$364,$E62,$H$271:$H$364,$H62)*(1-$L62)*TierA_TPI_BEefforts))</f>
        <v>0</v>
      </c>
      <c r="AO62" s="410">
        <f>(1+CAPEX_Factor)*((SUMIFS(AO$102:AO$266,$E$102:$E$266,$E62,$H$102:$H$266,$H62)*(1-$K62))+(SUMIFS(AO$271:AO$364,$E$271:$E$364,$E62,$H$271:$H$364,$H62)*(1-$L62)*TierA_TPI_BEefforts))</f>
        <v>0</v>
      </c>
      <c r="AP62" s="264"/>
      <c r="AQ62" s="264"/>
      <c r="AR62" s="738" t="s">
        <v>415</v>
      </c>
      <c r="AS62" s="454"/>
      <c r="AT62" s="264"/>
      <c r="AU62" s="263"/>
      <c r="AV62" s="410">
        <f t="shared" ref="AV62:BB63" si="86">(1+CAPEX_Factor)*((SUMIFS(AV$102:AV$266,$E$102:$E$266,$E62,$H$102:$H$266,$H62)*(1-$K62))+(SUMIFS(AV$271:AV$364,$E$271:$E$364,$E62,$H$271:$H$364,$H62)*(1-$L62)))</f>
        <v>3.3000000000000003</v>
      </c>
      <c r="AW62" s="410">
        <f t="shared" si="86"/>
        <v>3.3000000000000003</v>
      </c>
      <c r="AX62" s="410">
        <f t="shared" si="86"/>
        <v>3.3000000000000003</v>
      </c>
      <c r="AY62" s="410">
        <f t="shared" si="86"/>
        <v>3.3000000000000003</v>
      </c>
      <c r="AZ62" s="410">
        <f t="shared" si="86"/>
        <v>0</v>
      </c>
      <c r="BA62" s="410">
        <f t="shared" si="86"/>
        <v>0</v>
      </c>
      <c r="BB62" s="410">
        <f t="shared" si="86"/>
        <v>1.6500000000000001</v>
      </c>
      <c r="BC62" s="410">
        <f>(1+CAPEX_Factor)*((SUMIFS(BC$102:BC$266,$E$102:$E$266,$E62,$H$102:$H$266,$H62)*(1-$K62))+(SUMIFS(BC$271:BC$364,$E$271:$E$364,$E62,$H$271:$H$364,$H62)*(1-$L62)*TierA_TPI_BEefforts))</f>
        <v>0</v>
      </c>
      <c r="BD62" s="410">
        <f>(1+CAPEX_Factor)*((SUMIFS(BD$102:BD$266,$E$102:$E$266,$E62,$H$102:$H$266,$H62)*(1-$K62))+(SUMIFS(BD$271:BD$364,$E$271:$E$364,$E62,$H$271:$H$364,$H62)*(1-$L62)*TierA_TPI_BEefforts))</f>
        <v>1.6500000000000001</v>
      </c>
      <c r="BE62" s="264"/>
      <c r="BF62" s="738" t="s">
        <v>415</v>
      </c>
      <c r="BG62" s="454"/>
      <c r="BH62" s="264"/>
      <c r="BI62" s="263"/>
      <c r="BJ62" s="410">
        <f t="shared" ref="BJ62:BP63" si="87">(1+CAPEX_Factor)*((SUMIFS(BJ$102:BJ$266,$E$102:$E$266,$E62,$H$102:$H$266,$H62)*(1-$K62))+(SUMIFS(BJ$271:BJ$364,$E$271:$E$364,$E62,$H$271:$H$364,$H62)*(1-$L62)))</f>
        <v>3.3000000000000003</v>
      </c>
      <c r="BK62" s="410">
        <f t="shared" si="87"/>
        <v>3.3000000000000003</v>
      </c>
      <c r="BL62" s="410">
        <f t="shared" si="87"/>
        <v>3.3000000000000003</v>
      </c>
      <c r="BM62" s="410">
        <f t="shared" si="87"/>
        <v>3.3000000000000003</v>
      </c>
      <c r="BN62" s="410">
        <f t="shared" si="87"/>
        <v>0</v>
      </c>
      <c r="BO62" s="410">
        <f t="shared" si="87"/>
        <v>0</v>
      </c>
      <c r="BP62" s="410">
        <f t="shared" si="87"/>
        <v>1.6500000000000001</v>
      </c>
      <c r="BQ62" s="410">
        <f>(1+CAPEX_Factor)*((SUMIFS(BQ$102:BQ$266,$E$102:$E$266,$E62,$H$102:$H$266,$H62)*(1-$K62))+(SUMIFS(BQ$271:BQ$364,$E$271:$E$364,$E62,$H$271:$H$364,$H62)*(1-$L62)*TierA_TPI_BEefforts))</f>
        <v>0</v>
      </c>
      <c r="BR62" s="410">
        <f>(1+CAPEX_Factor)*((SUMIFS(BR$102:BR$266,$E$102:$E$266,$E62,$H$102:$H$266,$H62)*(1-$K62))+(SUMIFS(BR$271:BR$364,$E$271:$E$364,$E62,$H$271:$H$364,$H62)*(1-$L62)*TierA_TPI_BEefforts))</f>
        <v>1.6500000000000001</v>
      </c>
      <c r="BS62" s="263"/>
    </row>
    <row r="63" spans="1:71" ht="24" customHeight="1" x14ac:dyDescent="0.2">
      <c r="A63" s="312"/>
      <c r="B63" s="401"/>
      <c r="C63" s="157"/>
      <c r="D63" s="461" t="s">
        <v>111</v>
      </c>
      <c r="E63" s="462" t="s">
        <v>114</v>
      </c>
      <c r="F63" s="463" t="s">
        <v>30</v>
      </c>
      <c r="G63" s="468" t="s">
        <v>50</v>
      </c>
      <c r="H63" s="465" t="s">
        <v>119</v>
      </c>
      <c r="I63" s="760"/>
      <c r="J63" s="453"/>
      <c r="K63" s="408">
        <v>0</v>
      </c>
      <c r="L63" s="408">
        <v>0</v>
      </c>
      <c r="M63" s="442" t="s">
        <v>420</v>
      </c>
      <c r="N63" s="264"/>
      <c r="O63" s="738"/>
      <c r="P63" s="264"/>
      <c r="Q63" s="264"/>
      <c r="R63" s="264"/>
      <c r="S63" s="410">
        <f t="shared" si="84"/>
        <v>0</v>
      </c>
      <c r="T63" s="410">
        <f t="shared" si="84"/>
        <v>0</v>
      </c>
      <c r="U63" s="410">
        <f t="shared" si="84"/>
        <v>0</v>
      </c>
      <c r="V63" s="410">
        <f t="shared" si="84"/>
        <v>0</v>
      </c>
      <c r="W63" s="410">
        <f t="shared" si="84"/>
        <v>0</v>
      </c>
      <c r="X63" s="410">
        <f t="shared" si="84"/>
        <v>0</v>
      </c>
      <c r="Y63" s="410">
        <f t="shared" si="84"/>
        <v>0</v>
      </c>
      <c r="Z63" s="410">
        <f>(1+CAPEX_Factor)*((SUMIFS(Z$102:Z$266,$E$102:$E$266,$E63,$H$102:$H$266,$H63)*(1-$K63))+(SUMIFS(Z$271:Z$364,$E$271:$E$364,$E63,$H$271:$H$364,$H63)*(1-$L63)*TierA_TPI_BEefforts))</f>
        <v>0</v>
      </c>
      <c r="AA63" s="410">
        <f>(1+CAPEX_Factor)*((SUMIFS(AA$102:AA$266,$E$102:$E$266,$E63,$H$102:$H$266,$H63)*(1-$K63))+(SUMIFS(AA$271:AA$364,$E$271:$E$364,$E63,$H$271:$H$364,$H63)*(1-$L63)*TierA_TPI_BEefforts))</f>
        <v>0</v>
      </c>
      <c r="AB63" s="264"/>
      <c r="AC63" s="738"/>
      <c r="AD63" s="467"/>
      <c r="AE63" s="264"/>
      <c r="AF63" s="263"/>
      <c r="AG63" s="410">
        <f t="shared" si="85"/>
        <v>0</v>
      </c>
      <c r="AH63" s="410">
        <f t="shared" si="85"/>
        <v>0</v>
      </c>
      <c r="AI63" s="410">
        <f t="shared" si="85"/>
        <v>0</v>
      </c>
      <c r="AJ63" s="410">
        <f t="shared" si="85"/>
        <v>0</v>
      </c>
      <c r="AK63" s="410">
        <f t="shared" si="85"/>
        <v>0</v>
      </c>
      <c r="AL63" s="410">
        <f t="shared" si="85"/>
        <v>0</v>
      </c>
      <c r="AM63" s="410">
        <f t="shared" si="85"/>
        <v>0</v>
      </c>
      <c r="AN63" s="410">
        <f>(1+CAPEX_Factor)*((SUMIFS(AN$102:AN$266,$E$102:$E$266,$E63,$H$102:$H$266,$H63)*(1-$K63))+(SUMIFS(AN$271:AN$364,$E$271:$E$364,$E63,$H$271:$H$364,$H63)*(1-$L63)*TierA_TPI_BEefforts))</f>
        <v>0</v>
      </c>
      <c r="AO63" s="410">
        <f>(1+CAPEX_Factor)*((SUMIFS(AO$102:AO$266,$E$102:$E$266,$E63,$H$102:$H$266,$H63)*(1-$K63))+(SUMIFS(AO$271:AO$364,$E$271:$E$364,$E63,$H$271:$H$364,$H63)*(1-$L63)*TierA_TPI_BEefforts))</f>
        <v>0</v>
      </c>
      <c r="AP63" s="264"/>
      <c r="AQ63" s="264"/>
      <c r="AR63" s="738"/>
      <c r="AS63" s="454"/>
      <c r="AT63" s="264"/>
      <c r="AU63" s="263"/>
      <c r="AV63" s="410">
        <f t="shared" si="86"/>
        <v>0</v>
      </c>
      <c r="AW63" s="410">
        <f t="shared" si="86"/>
        <v>0</v>
      </c>
      <c r="AX63" s="410">
        <f t="shared" si="86"/>
        <v>0</v>
      </c>
      <c r="AY63" s="410">
        <f t="shared" si="86"/>
        <v>0</v>
      </c>
      <c r="AZ63" s="410">
        <f t="shared" si="86"/>
        <v>0</v>
      </c>
      <c r="BA63" s="410">
        <f t="shared" si="86"/>
        <v>0</v>
      </c>
      <c r="BB63" s="410">
        <f t="shared" si="86"/>
        <v>0</v>
      </c>
      <c r="BC63" s="410">
        <f>(1+CAPEX_Factor)*((SUMIFS(BC$102:BC$266,$E$102:$E$266,$E63,$H$102:$H$266,$H63)*(1-$K63))+(SUMIFS(BC$271:BC$364,$E$271:$E$364,$E63,$H$271:$H$364,$H63)*(1-$L63)*TierA_TPI_BEefforts))</f>
        <v>0</v>
      </c>
      <c r="BD63" s="410">
        <f>(1+CAPEX_Factor)*((SUMIFS(BD$102:BD$266,$E$102:$E$266,$E63,$H$102:$H$266,$H63)*(1-$K63))+(SUMIFS(BD$271:BD$364,$E$271:$E$364,$E63,$H$271:$H$364,$H63)*(1-$L63)*TierA_TPI_BEefforts))</f>
        <v>0</v>
      </c>
      <c r="BE63" s="264"/>
      <c r="BF63" s="738"/>
      <c r="BG63" s="454"/>
      <c r="BH63" s="264"/>
      <c r="BI63" s="263"/>
      <c r="BJ63" s="410">
        <f t="shared" si="87"/>
        <v>0</v>
      </c>
      <c r="BK63" s="410">
        <f t="shared" si="87"/>
        <v>0</v>
      </c>
      <c r="BL63" s="410">
        <f t="shared" si="87"/>
        <v>0</v>
      </c>
      <c r="BM63" s="410">
        <f t="shared" si="87"/>
        <v>0</v>
      </c>
      <c r="BN63" s="410">
        <f t="shared" si="87"/>
        <v>0</v>
      </c>
      <c r="BO63" s="410">
        <f t="shared" si="87"/>
        <v>0</v>
      </c>
      <c r="BP63" s="410">
        <f t="shared" si="87"/>
        <v>0</v>
      </c>
      <c r="BQ63" s="410">
        <f>(1+CAPEX_Factor)*((SUMIFS(BQ$102:BQ$266,$E$102:$E$266,$E63,$H$102:$H$266,$H63)*(1-$K63))+(SUMIFS(BQ$271:BQ$364,$E$271:$E$364,$E63,$H$271:$H$364,$H63)*(1-$L63)*TierA_TPI_BEefforts))</f>
        <v>0</v>
      </c>
      <c r="BR63" s="410">
        <f>(1+CAPEX_Factor)*((SUMIFS(BR$102:BR$266,$E$102:$E$266,$E63,$H$102:$H$266,$H63)*(1-$K63))+(SUMIFS(BR$271:BR$364,$E$271:$E$364,$E63,$H$271:$H$364,$H63)*(1-$L63)*TierA_TPI_BEefforts))</f>
        <v>0</v>
      </c>
      <c r="BS63" s="263"/>
    </row>
    <row r="64" spans="1:71" ht="24" customHeight="1" x14ac:dyDescent="0.2">
      <c r="A64" s="312"/>
      <c r="B64" s="401"/>
      <c r="C64" s="157"/>
      <c r="D64" s="461" t="s">
        <v>111</v>
      </c>
      <c r="E64" s="462" t="s">
        <v>114</v>
      </c>
      <c r="F64" s="469" t="s">
        <v>49</v>
      </c>
      <c r="G64" s="468" t="s">
        <v>47</v>
      </c>
      <c r="H64" s="465" t="s">
        <v>120</v>
      </c>
      <c r="I64" s="760"/>
      <c r="J64" s="453"/>
      <c r="K64" s="408" t="s">
        <v>58</v>
      </c>
      <c r="L64" s="408" t="s">
        <v>58</v>
      </c>
      <c r="M64" s="466"/>
      <c r="N64" s="264"/>
      <c r="O64" s="738"/>
      <c r="P64" s="264"/>
      <c r="Q64" s="264"/>
      <c r="R64" s="264"/>
      <c r="S64" s="408">
        <f>Inputs_CPs!$F$13</f>
        <v>0.2</v>
      </c>
      <c r="T64" s="408">
        <f>Inputs_CPs!$G$13</f>
        <v>0.2</v>
      </c>
      <c r="U64" s="408">
        <f>Inputs_CPs!$H$13</f>
        <v>0.2</v>
      </c>
      <c r="V64" s="408">
        <f>Inputs_CPs!$I$13</f>
        <v>0.2</v>
      </c>
      <c r="W64" s="408">
        <f>Inputs_CPs!$N$13</f>
        <v>0.2</v>
      </c>
      <c r="X64" s="408">
        <f>Inputs_CPs!$O$13</f>
        <v>0.2</v>
      </c>
      <c r="Y64" s="408">
        <f>Inputs_CPs!$K$13</f>
        <v>0.2</v>
      </c>
      <c r="Z64" s="408">
        <f>Inputs_CPs!$L$13</f>
        <v>0.2</v>
      </c>
      <c r="AA64" s="408">
        <f>Inputs_CPs!$M$13</f>
        <v>0.2</v>
      </c>
      <c r="AB64" s="264"/>
      <c r="AC64" s="738"/>
      <c r="AD64" s="467"/>
      <c r="AE64" s="264"/>
      <c r="AF64" s="263"/>
      <c r="AG64" s="408">
        <f>Inputs_CPs!$F$13</f>
        <v>0.2</v>
      </c>
      <c r="AH64" s="408">
        <f>Inputs_CPs!$G$13</f>
        <v>0.2</v>
      </c>
      <c r="AI64" s="408">
        <f>Inputs_CPs!$H$13</f>
        <v>0.2</v>
      </c>
      <c r="AJ64" s="408">
        <f>Inputs_CPs!$I$13</f>
        <v>0.2</v>
      </c>
      <c r="AK64" s="408">
        <f>Inputs_CPs!$N$13</f>
        <v>0.2</v>
      </c>
      <c r="AL64" s="408">
        <f>Inputs_CPs!$O$13</f>
        <v>0.2</v>
      </c>
      <c r="AM64" s="408">
        <f>Inputs_CPs!$K$13</f>
        <v>0.2</v>
      </c>
      <c r="AN64" s="408">
        <f>Inputs_CPs!$L$13</f>
        <v>0.2</v>
      </c>
      <c r="AO64" s="408">
        <f>Inputs_CPs!$M$13</f>
        <v>0.2</v>
      </c>
      <c r="AP64" s="264"/>
      <c r="AQ64" s="264"/>
      <c r="AR64" s="738"/>
      <c r="AS64" s="454"/>
      <c r="AT64" s="264"/>
      <c r="AU64" s="263"/>
      <c r="AV64" s="408">
        <f>Inputs_CPs!$F$13</f>
        <v>0.2</v>
      </c>
      <c r="AW64" s="408">
        <f>Inputs_CPs!$G$13</f>
        <v>0.2</v>
      </c>
      <c r="AX64" s="408">
        <f>Inputs_CPs!$H$13</f>
        <v>0.2</v>
      </c>
      <c r="AY64" s="408">
        <f>Inputs_CPs!$I$13</f>
        <v>0.2</v>
      </c>
      <c r="AZ64" s="408">
        <f>Inputs_CPs!$N$13</f>
        <v>0.2</v>
      </c>
      <c r="BA64" s="408">
        <f>Inputs_CPs!$O$13</f>
        <v>0.2</v>
      </c>
      <c r="BB64" s="408">
        <f>Inputs_CPs!$K$13</f>
        <v>0.2</v>
      </c>
      <c r="BC64" s="408">
        <f>Inputs_CPs!$L$13</f>
        <v>0.2</v>
      </c>
      <c r="BD64" s="408">
        <f>Inputs_CPs!$M$13</f>
        <v>0.2</v>
      </c>
      <c r="BE64" s="264"/>
      <c r="BF64" s="738"/>
      <c r="BG64" s="454"/>
      <c r="BH64" s="264"/>
      <c r="BI64" s="263"/>
      <c r="BJ64" s="408">
        <f>Inputs_CPs!$F$13</f>
        <v>0.2</v>
      </c>
      <c r="BK64" s="408">
        <f>Inputs_CPs!$G$13</f>
        <v>0.2</v>
      </c>
      <c r="BL64" s="408">
        <f>Inputs_CPs!$H$13</f>
        <v>0.2</v>
      </c>
      <c r="BM64" s="408">
        <f>Inputs_CPs!$I$13</f>
        <v>0.2</v>
      </c>
      <c r="BN64" s="408">
        <f>Inputs_CPs!$N$13</f>
        <v>0.2</v>
      </c>
      <c r="BO64" s="408">
        <f>Inputs_CPs!$O$13</f>
        <v>0.2</v>
      </c>
      <c r="BP64" s="408">
        <f>Inputs_CPs!$K$13</f>
        <v>0.2</v>
      </c>
      <c r="BQ64" s="408">
        <f>Inputs_CPs!$L$13</f>
        <v>0.2</v>
      </c>
      <c r="BR64" s="408">
        <f>Inputs_CPs!$M$13</f>
        <v>0.2</v>
      </c>
      <c r="BS64" s="263"/>
    </row>
    <row r="65" spans="1:71" ht="24" customHeight="1" x14ac:dyDescent="0.2">
      <c r="A65" s="312"/>
      <c r="B65" s="401"/>
      <c r="C65" s="157"/>
      <c r="D65" s="455" t="s">
        <v>111</v>
      </c>
      <c r="E65" s="456" t="s">
        <v>112</v>
      </c>
      <c r="F65" s="457" t="s">
        <v>61</v>
      </c>
      <c r="G65" s="458" t="s">
        <v>50</v>
      </c>
      <c r="H65" s="459" t="s">
        <v>152</v>
      </c>
      <c r="I65" s="739" t="s">
        <v>249</v>
      </c>
      <c r="J65" s="453"/>
      <c r="K65" s="408">
        <f>Inputs_Estimates!$E$29</f>
        <v>0.2</v>
      </c>
      <c r="L65" s="408">
        <v>0</v>
      </c>
      <c r="M65" s="472" t="s">
        <v>234</v>
      </c>
      <c r="N65" s="264"/>
      <c r="O65" s="761" t="s">
        <v>397</v>
      </c>
      <c r="P65" s="264"/>
      <c r="Q65" s="264"/>
      <c r="R65" s="264"/>
      <c r="S65" s="410">
        <f>(1+CAPEX_Factor)*((SUMIFS(S$102:S$266,$E$102:$E$266,$E65,$H$102:$H$266,$H65)*(1-$K65))+(SUMIFS(S$271:S$364,$E$271:$E$364,$E65,$H$271:$H$364,$H65)*(1-$L65)))</f>
        <v>6.6000000000000005</v>
      </c>
      <c r="T65" s="410">
        <f t="shared" ref="S65:Y66" si="88">(1+CAPEX_Factor)*((SUMIFS(T$102:T$266,$E$102:$E$266,$E65,$H$102:$H$266,$H65)*(1-$K65))+(SUMIFS(T$271:T$364,$E$271:$E$364,$E65,$H$271:$H$364,$H65)*(1-$L65)))</f>
        <v>6.6000000000000005</v>
      </c>
      <c r="U65" s="410">
        <f t="shared" si="88"/>
        <v>6.6000000000000005</v>
      </c>
      <c r="V65" s="410">
        <f t="shared" si="88"/>
        <v>6.6000000000000005</v>
      </c>
      <c r="W65" s="410">
        <f t="shared" si="88"/>
        <v>0</v>
      </c>
      <c r="X65" s="410">
        <f t="shared" si="88"/>
        <v>0</v>
      </c>
      <c r="Y65" s="410">
        <f t="shared" si="88"/>
        <v>3.3000000000000003</v>
      </c>
      <c r="Z65" s="410">
        <f>(1+CAPEX_Factor)*((SUMIFS(Z$102:Z$266,$E$102:$E$266,$E65,$H$102:$H$266,$H65)*(1-$K65))+(SUMIFS(Z$271:Z$364,$E$271:$E$364,$E65,$H$271:$H$364,$H65)*(1-$L65)*TierA_TPI_BEefforts))</f>
        <v>0</v>
      </c>
      <c r="AA65" s="410">
        <f>(1+CAPEX_Factor)*((SUMIFS(AA$102:AA$266,$E$102:$E$266,$E65,$H$102:$H$266,$H65)*(1-$K65))+(SUMIFS(AA$271:AA$364,$E$271:$E$364,$E65,$H$271:$H$364,$H65)*(1-$L65)*TierA_TPI_BEefforts))</f>
        <v>3.3000000000000003</v>
      </c>
      <c r="AB65" s="264"/>
      <c r="AC65" s="761" t="s">
        <v>397</v>
      </c>
      <c r="AD65" s="467"/>
      <c r="AE65" s="264"/>
      <c r="AF65" s="263"/>
      <c r="AG65" s="410">
        <f t="shared" ref="AG65:AM66" si="89">(1+CAPEX_Factor)*((SUMIFS(AG$102:AG$266,$E$102:$E$266,$E65,$H$102:$H$266,$H65)*(1-$K65))+(SUMIFS(AG$271:AG$364,$E$271:$E$364,$E65,$H$271:$H$364,$H65)*(1-$L65)))</f>
        <v>6.6000000000000005</v>
      </c>
      <c r="AH65" s="410">
        <f t="shared" si="89"/>
        <v>6.6000000000000005</v>
      </c>
      <c r="AI65" s="410">
        <f t="shared" si="89"/>
        <v>6.6000000000000005</v>
      </c>
      <c r="AJ65" s="410">
        <f t="shared" si="89"/>
        <v>6.6000000000000005</v>
      </c>
      <c r="AK65" s="410">
        <f t="shared" si="89"/>
        <v>0</v>
      </c>
      <c r="AL65" s="410">
        <f t="shared" si="89"/>
        <v>0</v>
      </c>
      <c r="AM65" s="410">
        <f t="shared" si="89"/>
        <v>3.3000000000000003</v>
      </c>
      <c r="AN65" s="410">
        <f>(1+CAPEX_Factor)*((SUMIFS(AN$102:AN$266,$E$102:$E$266,$E65,$H$102:$H$266,$H65)*(1-$K65))+(SUMIFS(AN$271:AN$364,$E$271:$E$364,$E65,$H$271:$H$364,$H65)*(1-$L65)*TierA_TPI_BEefforts))</f>
        <v>0</v>
      </c>
      <c r="AO65" s="410">
        <f>(1+CAPEX_Factor)*((SUMIFS(AO$102:AO$266,$E$102:$E$266,$E65,$H$102:$H$266,$H65)*(1-$K65))+(SUMIFS(AO$271:AO$364,$E$271:$E$364,$E65,$H$271:$H$364,$H65)*(1-$L65)*TierA_TPI_BEefforts))</f>
        <v>3.3000000000000003</v>
      </c>
      <c r="AP65" s="264"/>
      <c r="AQ65" s="264"/>
      <c r="AR65" s="761" t="s">
        <v>416</v>
      </c>
      <c r="AS65" s="467"/>
      <c r="AT65" s="264"/>
      <c r="AU65" s="263"/>
      <c r="AV65" s="410">
        <f t="shared" ref="AV65:BB66" si="90">(1+CAPEX_Factor)*((SUMIFS(AV$102:AV$266,$E$102:$E$266,$E65,$H$102:$H$266,$H65)*(1-$K65))+(SUMIFS(AV$271:AV$364,$E$271:$E$364,$E65,$H$271:$H$364,$H65)*(1-$L65)))</f>
        <v>17.160000000000004</v>
      </c>
      <c r="AW65" s="410">
        <f t="shared" si="90"/>
        <v>17.160000000000004</v>
      </c>
      <c r="AX65" s="410">
        <f t="shared" si="90"/>
        <v>17.160000000000004</v>
      </c>
      <c r="AY65" s="410">
        <f t="shared" si="90"/>
        <v>17.160000000000004</v>
      </c>
      <c r="AZ65" s="410">
        <f t="shared" si="90"/>
        <v>0</v>
      </c>
      <c r="BA65" s="410">
        <f t="shared" si="90"/>
        <v>0</v>
      </c>
      <c r="BB65" s="410">
        <f t="shared" si="90"/>
        <v>8.5800000000000018</v>
      </c>
      <c r="BC65" s="410">
        <f>(1+CAPEX_Factor)*((SUMIFS(BC$102:BC$266,$E$102:$E$266,$E65,$H$102:$H$266,$H65)*(1-$K65))+(SUMIFS(BC$271:BC$364,$E$271:$E$364,$E65,$H$271:$H$364,$H65)*(1-$L65)*TierA_TPI_BEefforts))</f>
        <v>0</v>
      </c>
      <c r="BD65" s="410">
        <f>(1+CAPEX_Factor)*((SUMIFS(BD$102:BD$266,$E$102:$E$266,$E65,$H$102:$H$266,$H65)*(1-$K65))+(SUMIFS(BD$271:BD$364,$E$271:$E$364,$E65,$H$271:$H$364,$H65)*(1-$L65)*TierA_TPI_BEefforts))</f>
        <v>8.5800000000000018</v>
      </c>
      <c r="BE65" s="264"/>
      <c r="BF65" s="761" t="s">
        <v>416</v>
      </c>
      <c r="BG65" s="467"/>
      <c r="BH65" s="264"/>
      <c r="BI65" s="263"/>
      <c r="BJ65" s="410">
        <f t="shared" ref="BJ65:BP66" si="91">(1+CAPEX_Factor)*((SUMIFS(BJ$102:BJ$266,$E$102:$E$266,$E65,$H$102:$H$266,$H65)*(1-$K65))+(SUMIFS(BJ$271:BJ$364,$E$271:$E$364,$E65,$H$271:$H$364,$H65)*(1-$L65)))</f>
        <v>17.160000000000004</v>
      </c>
      <c r="BK65" s="410">
        <f t="shared" si="91"/>
        <v>17.160000000000004</v>
      </c>
      <c r="BL65" s="410">
        <f t="shared" si="91"/>
        <v>17.160000000000004</v>
      </c>
      <c r="BM65" s="410">
        <f t="shared" si="91"/>
        <v>17.160000000000004</v>
      </c>
      <c r="BN65" s="410">
        <f t="shared" si="91"/>
        <v>0</v>
      </c>
      <c r="BO65" s="410">
        <f t="shared" si="91"/>
        <v>0</v>
      </c>
      <c r="BP65" s="410">
        <f t="shared" si="91"/>
        <v>8.5800000000000018</v>
      </c>
      <c r="BQ65" s="410">
        <f>(1+CAPEX_Factor)*((SUMIFS(BQ$102:BQ$266,$E$102:$E$266,$E65,$H$102:$H$266,$H65)*(1-$K65))+(SUMIFS(BQ$271:BQ$364,$E$271:$E$364,$E65,$H$271:$H$364,$H65)*(1-$L65)*TierA_TPI_BEefforts))</f>
        <v>0</v>
      </c>
      <c r="BR65" s="410">
        <f>(1+CAPEX_Factor)*((SUMIFS(BR$102:BR$266,$E$102:$E$266,$E65,$H$102:$H$266,$H65)*(1-$K65))+(SUMIFS(BR$271:BR$364,$E$271:$E$364,$E65,$H$271:$H$364,$H65)*(1-$L65)*TierA_TPI_BEefforts))</f>
        <v>8.5800000000000018</v>
      </c>
      <c r="BS65" s="263"/>
    </row>
    <row r="66" spans="1:71" ht="24" customHeight="1" x14ac:dyDescent="0.2">
      <c r="A66" s="312"/>
      <c r="B66" s="401"/>
      <c r="C66" s="157"/>
      <c r="D66" s="455" t="s">
        <v>111</v>
      </c>
      <c r="E66" s="456" t="s">
        <v>112</v>
      </c>
      <c r="F66" s="457" t="s">
        <v>30</v>
      </c>
      <c r="G66" s="458" t="s">
        <v>50</v>
      </c>
      <c r="H66" s="459" t="s">
        <v>119</v>
      </c>
      <c r="I66" s="739"/>
      <c r="J66" s="453"/>
      <c r="K66" s="408">
        <v>0</v>
      </c>
      <c r="L66" s="408">
        <v>0</v>
      </c>
      <c r="M66" s="472" t="s">
        <v>234</v>
      </c>
      <c r="N66" s="264"/>
      <c r="O66" s="762"/>
      <c r="P66" s="264"/>
      <c r="Q66" s="264"/>
      <c r="R66" s="264"/>
      <c r="S66" s="410">
        <f t="shared" si="88"/>
        <v>0</v>
      </c>
      <c r="T66" s="410">
        <f t="shared" si="88"/>
        <v>0</v>
      </c>
      <c r="U66" s="410">
        <f t="shared" si="88"/>
        <v>0</v>
      </c>
      <c r="V66" s="410">
        <f t="shared" si="88"/>
        <v>0</v>
      </c>
      <c r="W66" s="410">
        <f t="shared" si="88"/>
        <v>0</v>
      </c>
      <c r="X66" s="410">
        <f t="shared" si="88"/>
        <v>0</v>
      </c>
      <c r="Y66" s="410">
        <f t="shared" si="88"/>
        <v>0</v>
      </c>
      <c r="Z66" s="410">
        <f>(1+CAPEX_Factor)*((SUMIFS(Z$102:Z$266,$E$102:$E$266,$E66,$H$102:$H$266,$H66)*(1-$K66))+(SUMIFS(Z$271:Z$364,$E$271:$E$364,$E66,$H$271:$H$364,$H66)*(1-$L66)*TierA_TPI_BEefforts))</f>
        <v>0</v>
      </c>
      <c r="AA66" s="410">
        <f>(1+CAPEX_Factor)*((SUMIFS(AA$102:AA$266,$E$102:$E$266,$E66,$H$102:$H$266,$H66)*(1-$K66))+(SUMIFS(AA$271:AA$364,$E$271:$E$364,$E66,$H$271:$H$364,$H66)*(1-$L66)*TierA_TPI_BEefforts))</f>
        <v>0</v>
      </c>
      <c r="AB66" s="264"/>
      <c r="AC66" s="762"/>
      <c r="AD66" s="467"/>
      <c r="AE66" s="264"/>
      <c r="AF66" s="263"/>
      <c r="AG66" s="410">
        <f t="shared" si="89"/>
        <v>0</v>
      </c>
      <c r="AH66" s="410">
        <f t="shared" si="89"/>
        <v>0</v>
      </c>
      <c r="AI66" s="410">
        <f t="shared" si="89"/>
        <v>0</v>
      </c>
      <c r="AJ66" s="410">
        <f t="shared" si="89"/>
        <v>0</v>
      </c>
      <c r="AK66" s="410">
        <f t="shared" si="89"/>
        <v>0</v>
      </c>
      <c r="AL66" s="410">
        <f t="shared" si="89"/>
        <v>0</v>
      </c>
      <c r="AM66" s="410">
        <f t="shared" si="89"/>
        <v>0</v>
      </c>
      <c r="AN66" s="410">
        <f>(1+CAPEX_Factor)*((SUMIFS(AN$102:AN$266,$E$102:$E$266,$E66,$H$102:$H$266,$H66)*(1-$K66))+(SUMIFS(AN$271:AN$364,$E$271:$E$364,$E66,$H$271:$H$364,$H66)*(1-$L66)*TierA_TPI_BEefforts))</f>
        <v>0</v>
      </c>
      <c r="AO66" s="410">
        <f>(1+CAPEX_Factor)*((SUMIFS(AO$102:AO$266,$E$102:$E$266,$E66,$H$102:$H$266,$H66)*(1-$K66))+(SUMIFS(AO$271:AO$364,$E$271:$E$364,$E66,$H$271:$H$364,$H66)*(1-$L66)*TierA_TPI_BEefforts))</f>
        <v>0</v>
      </c>
      <c r="AP66" s="264"/>
      <c r="AQ66" s="264"/>
      <c r="AR66" s="762"/>
      <c r="AS66" s="467"/>
      <c r="AT66" s="264"/>
      <c r="AU66" s="263"/>
      <c r="AV66" s="410">
        <f t="shared" si="90"/>
        <v>0</v>
      </c>
      <c r="AW66" s="410">
        <f t="shared" si="90"/>
        <v>0</v>
      </c>
      <c r="AX66" s="410">
        <f t="shared" si="90"/>
        <v>0</v>
      </c>
      <c r="AY66" s="410">
        <f t="shared" si="90"/>
        <v>0</v>
      </c>
      <c r="AZ66" s="410">
        <f t="shared" si="90"/>
        <v>0</v>
      </c>
      <c r="BA66" s="410">
        <f t="shared" si="90"/>
        <v>0</v>
      </c>
      <c r="BB66" s="410">
        <f t="shared" si="90"/>
        <v>0</v>
      </c>
      <c r="BC66" s="410">
        <f>(1+CAPEX_Factor)*((SUMIFS(BC$102:BC$266,$E$102:$E$266,$E66,$H$102:$H$266,$H66)*(1-$K66))+(SUMIFS(BC$271:BC$364,$E$271:$E$364,$E66,$H$271:$H$364,$H66)*(1-$L66)*TierA_TPI_BEefforts))</f>
        <v>0</v>
      </c>
      <c r="BD66" s="410">
        <f>(1+CAPEX_Factor)*((SUMIFS(BD$102:BD$266,$E$102:$E$266,$E66,$H$102:$H$266,$H66)*(1-$K66))+(SUMIFS(BD$271:BD$364,$E$271:$E$364,$E66,$H$271:$H$364,$H66)*(1-$L66)*TierA_TPI_BEefforts))</f>
        <v>0</v>
      </c>
      <c r="BE66" s="264"/>
      <c r="BF66" s="762"/>
      <c r="BG66" s="467"/>
      <c r="BH66" s="264"/>
      <c r="BI66" s="263"/>
      <c r="BJ66" s="410">
        <f t="shared" si="91"/>
        <v>0</v>
      </c>
      <c r="BK66" s="410">
        <f t="shared" si="91"/>
        <v>0</v>
      </c>
      <c r="BL66" s="410">
        <f t="shared" si="91"/>
        <v>0</v>
      </c>
      <c r="BM66" s="410">
        <f t="shared" si="91"/>
        <v>0</v>
      </c>
      <c r="BN66" s="410">
        <f t="shared" si="91"/>
        <v>0</v>
      </c>
      <c r="BO66" s="410">
        <f t="shared" si="91"/>
        <v>0</v>
      </c>
      <c r="BP66" s="410">
        <f t="shared" si="91"/>
        <v>0</v>
      </c>
      <c r="BQ66" s="410">
        <f>(1+CAPEX_Factor)*((SUMIFS(BQ$102:BQ$266,$E$102:$E$266,$E66,$H$102:$H$266,$H66)*(1-$K66))+(SUMIFS(BQ$271:BQ$364,$E$271:$E$364,$E66,$H$271:$H$364,$H66)*(1-$L66)*TierA_TPI_BEefforts))</f>
        <v>0</v>
      </c>
      <c r="BR66" s="410">
        <f>(1+CAPEX_Factor)*((SUMIFS(BR$102:BR$266,$E$102:$E$266,$E66,$H$102:$H$266,$H66)*(1-$K66))+(SUMIFS(BR$271:BR$364,$E$271:$E$364,$E66,$H$271:$H$364,$H66)*(1-$L66)*TierA_TPI_BEefforts))</f>
        <v>0</v>
      </c>
      <c r="BS66" s="263"/>
    </row>
    <row r="67" spans="1:71" ht="24" customHeight="1" x14ac:dyDescent="0.2">
      <c r="A67" s="312"/>
      <c r="B67" s="401"/>
      <c r="C67" s="157"/>
      <c r="D67" s="455" t="s">
        <v>111</v>
      </c>
      <c r="E67" s="456" t="s">
        <v>112</v>
      </c>
      <c r="F67" s="457" t="s">
        <v>49</v>
      </c>
      <c r="G67" s="458" t="s">
        <v>47</v>
      </c>
      <c r="H67" s="459" t="s">
        <v>120</v>
      </c>
      <c r="I67" s="739"/>
      <c r="J67" s="453"/>
      <c r="K67" s="408" t="s">
        <v>58</v>
      </c>
      <c r="L67" s="408" t="s">
        <v>58</v>
      </c>
      <c r="M67" s="472"/>
      <c r="N67" s="264"/>
      <c r="O67" s="763"/>
      <c r="P67" s="264"/>
      <c r="Q67" s="264"/>
      <c r="R67" s="264"/>
      <c r="S67" s="408">
        <f>Inputs_CPs!$F$13</f>
        <v>0.2</v>
      </c>
      <c r="T67" s="408">
        <f>Inputs_CPs!$G$13</f>
        <v>0.2</v>
      </c>
      <c r="U67" s="408">
        <f>Inputs_CPs!$H$13</f>
        <v>0.2</v>
      </c>
      <c r="V67" s="408">
        <f>Inputs_CPs!$I$13</f>
        <v>0.2</v>
      </c>
      <c r="W67" s="408">
        <f>Inputs_CPs!$N$13</f>
        <v>0.2</v>
      </c>
      <c r="X67" s="408">
        <f>Inputs_CPs!$O$13</f>
        <v>0.2</v>
      </c>
      <c r="Y67" s="408">
        <f>Inputs_CPs!$K$13</f>
        <v>0.2</v>
      </c>
      <c r="Z67" s="408">
        <f>Inputs_CPs!$L$13</f>
        <v>0.2</v>
      </c>
      <c r="AA67" s="408">
        <f>Inputs_CPs!$M$13</f>
        <v>0.2</v>
      </c>
      <c r="AB67" s="264"/>
      <c r="AC67" s="763"/>
      <c r="AD67" s="467"/>
      <c r="AE67" s="264"/>
      <c r="AF67" s="263"/>
      <c r="AG67" s="408">
        <f>Inputs_CPs!$F$13</f>
        <v>0.2</v>
      </c>
      <c r="AH67" s="408">
        <f>Inputs_CPs!$G$13</f>
        <v>0.2</v>
      </c>
      <c r="AI67" s="408">
        <f>Inputs_CPs!$H$13</f>
        <v>0.2</v>
      </c>
      <c r="AJ67" s="408">
        <f>Inputs_CPs!$I$13</f>
        <v>0.2</v>
      </c>
      <c r="AK67" s="408">
        <f>Inputs_CPs!$N$13</f>
        <v>0.2</v>
      </c>
      <c r="AL67" s="408">
        <f>Inputs_CPs!$O$13</f>
        <v>0.2</v>
      </c>
      <c r="AM67" s="408">
        <f>Inputs_CPs!$K$13</f>
        <v>0.2</v>
      </c>
      <c r="AN67" s="408">
        <f>Inputs_CPs!$L$13</f>
        <v>0.2</v>
      </c>
      <c r="AO67" s="408">
        <f>Inputs_CPs!$M$13</f>
        <v>0.2</v>
      </c>
      <c r="AP67" s="264"/>
      <c r="AQ67" s="264"/>
      <c r="AR67" s="763"/>
      <c r="AS67" s="467"/>
      <c r="AT67" s="264"/>
      <c r="AU67" s="263"/>
      <c r="AV67" s="408">
        <f>Inputs_CPs!$F$13</f>
        <v>0.2</v>
      </c>
      <c r="AW67" s="408">
        <f>Inputs_CPs!$G$13</f>
        <v>0.2</v>
      </c>
      <c r="AX67" s="408">
        <f>Inputs_CPs!$H$13</f>
        <v>0.2</v>
      </c>
      <c r="AY67" s="408">
        <f>Inputs_CPs!$I$13</f>
        <v>0.2</v>
      </c>
      <c r="AZ67" s="408">
        <f>Inputs_CPs!$N$13</f>
        <v>0.2</v>
      </c>
      <c r="BA67" s="408">
        <f>Inputs_CPs!$O$13</f>
        <v>0.2</v>
      </c>
      <c r="BB67" s="408">
        <f>Inputs_CPs!$K$13</f>
        <v>0.2</v>
      </c>
      <c r="BC67" s="408">
        <f>Inputs_CPs!$L$13</f>
        <v>0.2</v>
      </c>
      <c r="BD67" s="408">
        <f>Inputs_CPs!$M$13</f>
        <v>0.2</v>
      </c>
      <c r="BE67" s="264"/>
      <c r="BF67" s="763"/>
      <c r="BG67" s="467"/>
      <c r="BH67" s="264"/>
      <c r="BI67" s="263"/>
      <c r="BJ67" s="408">
        <f>Inputs_CPs!$F$13</f>
        <v>0.2</v>
      </c>
      <c r="BK67" s="408">
        <f>Inputs_CPs!$G$13</f>
        <v>0.2</v>
      </c>
      <c r="BL67" s="408">
        <f>Inputs_CPs!$H$13</f>
        <v>0.2</v>
      </c>
      <c r="BM67" s="408">
        <f>Inputs_CPs!$I$13</f>
        <v>0.2</v>
      </c>
      <c r="BN67" s="408">
        <f>Inputs_CPs!$N$13</f>
        <v>0.2</v>
      </c>
      <c r="BO67" s="408">
        <f>Inputs_CPs!$O$13</f>
        <v>0.2</v>
      </c>
      <c r="BP67" s="408">
        <f>Inputs_CPs!$K$13</f>
        <v>0.2</v>
      </c>
      <c r="BQ67" s="408">
        <f>Inputs_CPs!$L$13</f>
        <v>0.2</v>
      </c>
      <c r="BR67" s="408">
        <f>Inputs_CPs!$M$13</f>
        <v>0.2</v>
      </c>
      <c r="BS67" s="263"/>
    </row>
    <row r="68" spans="1:71" ht="24" customHeight="1" x14ac:dyDescent="0.2">
      <c r="A68" s="312"/>
      <c r="B68" s="401"/>
      <c r="C68" s="157"/>
      <c r="D68" s="431" t="s">
        <v>111</v>
      </c>
      <c r="E68" s="473" t="s">
        <v>148</v>
      </c>
      <c r="F68" s="433" t="s">
        <v>61</v>
      </c>
      <c r="G68" s="432" t="s">
        <v>50</v>
      </c>
      <c r="H68" s="564" t="s">
        <v>152</v>
      </c>
      <c r="I68" s="758" t="s">
        <v>507</v>
      </c>
      <c r="J68" s="453"/>
      <c r="K68" s="408">
        <v>0</v>
      </c>
      <c r="L68" s="408">
        <v>0</v>
      </c>
      <c r="M68" s="442" t="s">
        <v>420</v>
      </c>
      <c r="N68" s="264"/>
      <c r="O68" s="764" t="s">
        <v>398</v>
      </c>
      <c r="P68" s="264"/>
      <c r="Q68" s="264"/>
      <c r="R68" s="264"/>
      <c r="S68" s="410">
        <f>(1+CAPEX_Factor)*((SUMIFS(S$102:S$266,$E$102:$E$266,$E68,$H$102:$H$266,$H68)*(1-$K68))+(SUMIFS(S$271:S$364,$E$271:$E$364,$E68,$H$271:$H$364,$H68)*(1-$L68)))</f>
        <v>33</v>
      </c>
      <c r="T68" s="410">
        <f t="shared" ref="S68:Y69" si="92">(1+CAPEX_Factor)*((SUMIFS(T$102:T$266,$E$102:$E$266,$E68,$H$102:$H$266,$H68)*(1-$K68))+(SUMIFS(T$271:T$364,$E$271:$E$364,$E68,$H$271:$H$364,$H68)*(1-$L68)))</f>
        <v>33</v>
      </c>
      <c r="U68" s="410">
        <f t="shared" si="92"/>
        <v>33</v>
      </c>
      <c r="V68" s="410">
        <f t="shared" si="92"/>
        <v>33</v>
      </c>
      <c r="W68" s="410">
        <f t="shared" si="92"/>
        <v>0</v>
      </c>
      <c r="X68" s="410">
        <f t="shared" si="92"/>
        <v>0</v>
      </c>
      <c r="Y68" s="410">
        <f t="shared" si="92"/>
        <v>16.5</v>
      </c>
      <c r="Z68" s="410">
        <f>(1+CAPEX_Factor)*((SUMIFS(Z$102:Z$266,$E$102:$E$266,$E68,$H$102:$H$266,$H68)*(1-$K68))+(SUMIFS(Z$271:Z$364,$E$271:$E$364,$E68,$H$271:$H$364,$H68)*(1-$L68)*TierA_TPI_BEefforts))</f>
        <v>0</v>
      </c>
      <c r="AA68" s="410">
        <f>(1+CAPEX_Factor)*((SUMIFS(AA$102:AA$266,$E$102:$E$266,$E68,$H$102:$H$266,$H68)*(1-$K68))+(SUMIFS(AA$271:AA$364,$E$271:$E$364,$E68,$H$271:$H$364,$H68)*(1-$L68)*TierA_TPI_BEefforts))</f>
        <v>16.5</v>
      </c>
      <c r="AB68" s="264"/>
      <c r="AC68" s="764" t="s">
        <v>398</v>
      </c>
      <c r="AD68" s="467"/>
      <c r="AE68" s="264"/>
      <c r="AF68" s="263"/>
      <c r="AG68" s="410">
        <f>(1+CAPEX_Factor)*((SUMIFS(AG$102:AG$266,$E$102:$E$266,$E68,$H$102:$H$266,$H68)*(1-$K68))+(SUMIFS(AG$271:AG$364,$E$271:$E$364,$E68,$H$271:$H$364,$H68)*(1-$L68)))</f>
        <v>33</v>
      </c>
      <c r="AH68" s="410">
        <f t="shared" ref="AG68:AM69" si="93">(1+CAPEX_Factor)*((SUMIFS(AH$102:AH$266,$E$102:$E$266,$E68,$H$102:$H$266,$H68)*(1-$K68))+(SUMIFS(AH$271:AH$364,$E$271:$E$364,$E68,$H$271:$H$364,$H68)*(1-$L68)))</f>
        <v>33</v>
      </c>
      <c r="AI68" s="410">
        <f t="shared" si="93"/>
        <v>33</v>
      </c>
      <c r="AJ68" s="410">
        <f t="shared" si="93"/>
        <v>33</v>
      </c>
      <c r="AK68" s="410">
        <f t="shared" si="93"/>
        <v>0</v>
      </c>
      <c r="AL68" s="410">
        <f t="shared" si="93"/>
        <v>0</v>
      </c>
      <c r="AM68" s="410">
        <f t="shared" si="93"/>
        <v>16.5</v>
      </c>
      <c r="AN68" s="410">
        <f>(1+CAPEX_Factor)*((SUMIFS(AN$102:AN$266,$E$102:$E$266,$E68,$H$102:$H$266,$H68)*(1-$K68))+(SUMIFS(AN$271:AN$364,$E$271:$E$364,$E68,$H$271:$H$364,$H68)*(1-$L68)*TierA_TPI_BEefforts))</f>
        <v>0</v>
      </c>
      <c r="AO68" s="410">
        <f>(1+CAPEX_Factor)*((SUMIFS(AO$102:AO$266,$E$102:$E$266,$E68,$H$102:$H$266,$H68)*(1-$K68))+(SUMIFS(AO$271:AO$364,$E$271:$E$364,$E68,$H$271:$H$364,$H68)*(1-$L68)*TierA_TPI_BEefforts))</f>
        <v>16.5</v>
      </c>
      <c r="AP68" s="264"/>
      <c r="AQ68" s="264"/>
      <c r="AR68" s="764" t="s">
        <v>398</v>
      </c>
      <c r="AS68" s="454"/>
      <c r="AT68" s="264"/>
      <c r="AU68" s="263"/>
      <c r="AV68" s="410">
        <f t="shared" ref="AV68:BB69" si="94">(1+CAPEX_Factor)*((SUMIFS(AV$102:AV$266,$E$102:$E$266,$E68,$H$102:$H$266,$H68)*(1-$K68))+(SUMIFS(AV$271:AV$364,$E$271:$E$364,$E68,$H$271:$H$364,$H68)*(1-$L68)))</f>
        <v>33</v>
      </c>
      <c r="AW68" s="410">
        <f t="shared" si="94"/>
        <v>33</v>
      </c>
      <c r="AX68" s="410">
        <f t="shared" si="94"/>
        <v>33</v>
      </c>
      <c r="AY68" s="410">
        <f t="shared" si="94"/>
        <v>33</v>
      </c>
      <c r="AZ68" s="410">
        <f t="shared" si="94"/>
        <v>0</v>
      </c>
      <c r="BA68" s="410">
        <f t="shared" si="94"/>
        <v>0</v>
      </c>
      <c r="BB68" s="410">
        <f t="shared" si="94"/>
        <v>16.5</v>
      </c>
      <c r="BC68" s="410">
        <f>(1+CAPEX_Factor)*((SUMIFS(BC$102:BC$266,$E$102:$E$266,$E68,$H$102:$H$266,$H68)*(1-$K68))+(SUMIFS(BC$271:BC$364,$E$271:$E$364,$E68,$H$271:$H$364,$H68)*(1-$L68)*TierA_TPI_BEefforts))</f>
        <v>0</v>
      </c>
      <c r="BD68" s="410">
        <f>(1+CAPEX_Factor)*((SUMIFS(BD$102:BD$266,$E$102:$E$266,$E68,$H$102:$H$266,$H68)*(1-$K68))+(SUMIFS(BD$271:BD$364,$E$271:$E$364,$E68,$H$271:$H$364,$H68)*(1-$L68)*TierA_TPI_BEefforts))</f>
        <v>16.5</v>
      </c>
      <c r="BE68" s="264"/>
      <c r="BF68" s="764" t="s">
        <v>398</v>
      </c>
      <c r="BG68" s="454"/>
      <c r="BH68" s="264"/>
      <c r="BI68" s="263"/>
      <c r="BJ68" s="410">
        <f t="shared" ref="BJ68:BP69" si="95">(1+CAPEX_Factor)*((SUMIFS(BJ$102:BJ$266,$E$102:$E$266,$E68,$H$102:$H$266,$H68)*(1-$K68))+(SUMIFS(BJ$271:BJ$364,$E$271:$E$364,$E68,$H$271:$H$364,$H68)*(1-$L68)))</f>
        <v>33</v>
      </c>
      <c r="BK68" s="410">
        <f t="shared" si="95"/>
        <v>33</v>
      </c>
      <c r="BL68" s="410">
        <f t="shared" si="95"/>
        <v>33</v>
      </c>
      <c r="BM68" s="410">
        <f t="shared" si="95"/>
        <v>33</v>
      </c>
      <c r="BN68" s="410">
        <f t="shared" si="95"/>
        <v>0</v>
      </c>
      <c r="BO68" s="410">
        <f t="shared" si="95"/>
        <v>0</v>
      </c>
      <c r="BP68" s="410">
        <f t="shared" si="95"/>
        <v>16.5</v>
      </c>
      <c r="BQ68" s="410">
        <f>(1+CAPEX_Factor)*((SUMIFS(BQ$102:BQ$266,$E$102:$E$266,$E68,$H$102:$H$266,$H68)*(1-$K68))+(SUMIFS(BQ$271:BQ$364,$E$271:$E$364,$E68,$H$271:$H$364,$H68)*(1-$L68)*TierA_TPI_BEefforts))</f>
        <v>0</v>
      </c>
      <c r="BR68" s="410">
        <f>(1+CAPEX_Factor)*((SUMIFS(BR$102:BR$266,$E$102:$E$266,$E68,$H$102:$H$266,$H68)*(1-$K68))+(SUMIFS(BR$271:BR$364,$E$271:$E$364,$E68,$H$271:$H$364,$H68)*(1-$L68)*TierA_TPI_BEefforts))</f>
        <v>16.5</v>
      </c>
      <c r="BS68" s="263"/>
    </row>
    <row r="69" spans="1:71" ht="24" customHeight="1" x14ac:dyDescent="0.2">
      <c r="A69" s="312"/>
      <c r="B69" s="401"/>
      <c r="C69" s="157"/>
      <c r="D69" s="431" t="s">
        <v>111</v>
      </c>
      <c r="E69" s="473" t="s">
        <v>148</v>
      </c>
      <c r="F69" s="433" t="s">
        <v>30</v>
      </c>
      <c r="G69" s="473" t="s">
        <v>50</v>
      </c>
      <c r="H69" s="474" t="s">
        <v>119</v>
      </c>
      <c r="I69" s="758"/>
      <c r="J69" s="453"/>
      <c r="K69" s="408">
        <v>0</v>
      </c>
      <c r="L69" s="408">
        <v>0</v>
      </c>
      <c r="M69" s="442" t="s">
        <v>420</v>
      </c>
      <c r="N69" s="264"/>
      <c r="O69" s="764"/>
      <c r="P69" s="264"/>
      <c r="Q69" s="264"/>
      <c r="R69" s="264"/>
      <c r="S69" s="410">
        <f t="shared" si="92"/>
        <v>0</v>
      </c>
      <c r="T69" s="410">
        <f t="shared" si="92"/>
        <v>0</v>
      </c>
      <c r="U69" s="410">
        <f t="shared" si="92"/>
        <v>0</v>
      </c>
      <c r="V69" s="410">
        <f t="shared" si="92"/>
        <v>0</v>
      </c>
      <c r="W69" s="410">
        <f t="shared" si="92"/>
        <v>0</v>
      </c>
      <c r="X69" s="410">
        <f t="shared" si="92"/>
        <v>0</v>
      </c>
      <c r="Y69" s="410">
        <f t="shared" si="92"/>
        <v>0</v>
      </c>
      <c r="Z69" s="410">
        <f>(1+CAPEX_Factor)*((SUMIFS(Z$102:Z$266,$E$102:$E$266,$E69,$H$102:$H$266,$H69)*(1-$K69))+(SUMIFS(Z$271:Z$364,$E$271:$E$364,$E69,$H$271:$H$364,$H69)*(1-$L69)*TierA_TPI_BEefforts))</f>
        <v>0</v>
      </c>
      <c r="AA69" s="410">
        <f>(1+CAPEX_Factor)*((SUMIFS(AA$102:AA$266,$E$102:$E$266,$E69,$H$102:$H$266,$H69)*(1-$K69))+(SUMIFS(AA$271:AA$364,$E$271:$E$364,$E69,$H$271:$H$364,$H69)*(1-$L69)*TierA_TPI_BEefforts))</f>
        <v>0</v>
      </c>
      <c r="AB69" s="264"/>
      <c r="AC69" s="764"/>
      <c r="AD69" s="467"/>
      <c r="AE69" s="264"/>
      <c r="AF69" s="263"/>
      <c r="AG69" s="410">
        <f t="shared" si="93"/>
        <v>0</v>
      </c>
      <c r="AH69" s="410">
        <f t="shared" si="93"/>
        <v>0</v>
      </c>
      <c r="AI69" s="410">
        <f t="shared" si="93"/>
        <v>0</v>
      </c>
      <c r="AJ69" s="410">
        <f t="shared" si="93"/>
        <v>0</v>
      </c>
      <c r="AK69" s="410">
        <f t="shared" si="93"/>
        <v>0</v>
      </c>
      <c r="AL69" s="410">
        <f t="shared" si="93"/>
        <v>0</v>
      </c>
      <c r="AM69" s="410">
        <f t="shared" si="93"/>
        <v>0</v>
      </c>
      <c r="AN69" s="410">
        <f>(1+CAPEX_Factor)*((SUMIFS(AN$102:AN$266,$E$102:$E$266,$E69,$H$102:$H$266,$H69)*(1-$K69))+(SUMIFS(AN$271:AN$364,$E$271:$E$364,$E69,$H$271:$H$364,$H69)*(1-$L69)*TierA_TPI_BEefforts))</f>
        <v>0</v>
      </c>
      <c r="AO69" s="410">
        <f>(1+CAPEX_Factor)*((SUMIFS(AO$102:AO$266,$E$102:$E$266,$E69,$H$102:$H$266,$H69)*(1-$K69))+(SUMIFS(AO$271:AO$364,$E$271:$E$364,$E69,$H$271:$H$364,$H69)*(1-$L69)*TierA_TPI_BEefforts))</f>
        <v>0</v>
      </c>
      <c r="AP69" s="264"/>
      <c r="AQ69" s="264"/>
      <c r="AR69" s="764"/>
      <c r="AS69" s="454"/>
      <c r="AT69" s="264"/>
      <c r="AU69" s="263"/>
      <c r="AV69" s="410">
        <f t="shared" si="94"/>
        <v>0</v>
      </c>
      <c r="AW69" s="410">
        <f t="shared" si="94"/>
        <v>0</v>
      </c>
      <c r="AX69" s="410">
        <f t="shared" si="94"/>
        <v>0</v>
      </c>
      <c r="AY69" s="410">
        <f t="shared" si="94"/>
        <v>0</v>
      </c>
      <c r="AZ69" s="410">
        <f t="shared" si="94"/>
        <v>0</v>
      </c>
      <c r="BA69" s="410">
        <f t="shared" si="94"/>
        <v>0</v>
      </c>
      <c r="BB69" s="410">
        <f t="shared" si="94"/>
        <v>0</v>
      </c>
      <c r="BC69" s="410">
        <f>(1+CAPEX_Factor)*((SUMIFS(BC$102:BC$266,$E$102:$E$266,$E69,$H$102:$H$266,$H69)*(1-$K69))+(SUMIFS(BC$271:BC$364,$E$271:$E$364,$E69,$H$271:$H$364,$H69)*(1-$L69)*TierA_TPI_BEefforts))</f>
        <v>0</v>
      </c>
      <c r="BD69" s="410">
        <f>(1+CAPEX_Factor)*((SUMIFS(BD$102:BD$266,$E$102:$E$266,$E69,$H$102:$H$266,$H69)*(1-$K69))+(SUMIFS(BD$271:BD$364,$E$271:$E$364,$E69,$H$271:$H$364,$H69)*(1-$L69)*TierA_TPI_BEefforts))</f>
        <v>0</v>
      </c>
      <c r="BE69" s="264"/>
      <c r="BF69" s="764"/>
      <c r="BG69" s="454"/>
      <c r="BH69" s="264"/>
      <c r="BI69" s="263"/>
      <c r="BJ69" s="410">
        <f t="shared" si="95"/>
        <v>0</v>
      </c>
      <c r="BK69" s="410">
        <f t="shared" si="95"/>
        <v>0</v>
      </c>
      <c r="BL69" s="410">
        <f t="shared" si="95"/>
        <v>0</v>
      </c>
      <c r="BM69" s="410">
        <f t="shared" si="95"/>
        <v>0</v>
      </c>
      <c r="BN69" s="410">
        <f t="shared" si="95"/>
        <v>0</v>
      </c>
      <c r="BO69" s="410">
        <f t="shared" si="95"/>
        <v>0</v>
      </c>
      <c r="BP69" s="410">
        <f t="shared" si="95"/>
        <v>0</v>
      </c>
      <c r="BQ69" s="410">
        <f>(1+CAPEX_Factor)*((SUMIFS(BQ$102:BQ$266,$E$102:$E$266,$E69,$H$102:$H$266,$H69)*(1-$K69))+(SUMIFS(BQ$271:BQ$364,$E$271:$E$364,$E69,$H$271:$H$364,$H69)*(1-$L69)*TierA_TPI_BEefforts))</f>
        <v>0</v>
      </c>
      <c r="BR69" s="410">
        <f>(1+CAPEX_Factor)*((SUMIFS(BR$102:BR$266,$E$102:$E$266,$E69,$H$102:$H$266,$H69)*(1-$K69))+(SUMIFS(BR$271:BR$364,$E$271:$E$364,$E69,$H$271:$H$364,$H69)*(1-$L69)*TierA_TPI_BEefforts))</f>
        <v>0</v>
      </c>
      <c r="BS69" s="263"/>
    </row>
    <row r="70" spans="1:71" ht="24" customHeight="1" x14ac:dyDescent="0.2">
      <c r="A70" s="312"/>
      <c r="B70" s="401"/>
      <c r="C70" s="157"/>
      <c r="D70" s="431" t="s">
        <v>111</v>
      </c>
      <c r="E70" s="473" t="s">
        <v>148</v>
      </c>
      <c r="F70" s="475" t="s">
        <v>49</v>
      </c>
      <c r="G70" s="473" t="s">
        <v>47</v>
      </c>
      <c r="H70" s="474" t="s">
        <v>120</v>
      </c>
      <c r="I70" s="758"/>
      <c r="J70" s="453"/>
      <c r="K70" s="408" t="s">
        <v>58</v>
      </c>
      <c r="L70" s="408" t="s">
        <v>58</v>
      </c>
      <c r="M70" s="466"/>
      <c r="N70" s="264"/>
      <c r="O70" s="764"/>
      <c r="P70" s="264"/>
      <c r="Q70" s="264"/>
      <c r="R70" s="264"/>
      <c r="S70" s="408">
        <f>Inputs_CPs!$F$13</f>
        <v>0.2</v>
      </c>
      <c r="T70" s="408">
        <f>Inputs_CPs!$G$13</f>
        <v>0.2</v>
      </c>
      <c r="U70" s="408">
        <f>Inputs_CPs!$H$13</f>
        <v>0.2</v>
      </c>
      <c r="V70" s="408">
        <f>Inputs_CPs!$I$13</f>
        <v>0.2</v>
      </c>
      <c r="W70" s="408">
        <f>Inputs_CPs!$N$13</f>
        <v>0.2</v>
      </c>
      <c r="X70" s="408">
        <f>Inputs_CPs!$O$13</f>
        <v>0.2</v>
      </c>
      <c r="Y70" s="408">
        <f>Inputs_CPs!$K$13</f>
        <v>0.2</v>
      </c>
      <c r="Z70" s="408">
        <f>Inputs_CPs!$L$13</f>
        <v>0.2</v>
      </c>
      <c r="AA70" s="408">
        <f>Inputs_CPs!$M$13</f>
        <v>0.2</v>
      </c>
      <c r="AB70" s="264"/>
      <c r="AC70" s="764"/>
      <c r="AD70" s="467"/>
      <c r="AE70" s="264"/>
      <c r="AF70" s="263"/>
      <c r="AG70" s="408">
        <f>Inputs_CPs!$F$13</f>
        <v>0.2</v>
      </c>
      <c r="AH70" s="408">
        <f>Inputs_CPs!$G$13</f>
        <v>0.2</v>
      </c>
      <c r="AI70" s="408">
        <f>Inputs_CPs!$H$13</f>
        <v>0.2</v>
      </c>
      <c r="AJ70" s="408">
        <f>Inputs_CPs!$I$13</f>
        <v>0.2</v>
      </c>
      <c r="AK70" s="408">
        <f>Inputs_CPs!$N$13</f>
        <v>0.2</v>
      </c>
      <c r="AL70" s="408">
        <f>Inputs_CPs!$O$13</f>
        <v>0.2</v>
      </c>
      <c r="AM70" s="408">
        <f>Inputs_CPs!$K$13</f>
        <v>0.2</v>
      </c>
      <c r="AN70" s="408">
        <f>Inputs_CPs!$L$13</f>
        <v>0.2</v>
      </c>
      <c r="AO70" s="408">
        <f>Inputs_CPs!$M$13</f>
        <v>0.2</v>
      </c>
      <c r="AP70" s="264"/>
      <c r="AQ70" s="264"/>
      <c r="AR70" s="764"/>
      <c r="AS70" s="454"/>
      <c r="AT70" s="264"/>
      <c r="AU70" s="263"/>
      <c r="AV70" s="408">
        <f>Inputs_CPs!$F$13</f>
        <v>0.2</v>
      </c>
      <c r="AW70" s="408">
        <f>Inputs_CPs!$G$13</f>
        <v>0.2</v>
      </c>
      <c r="AX70" s="408">
        <f>Inputs_CPs!$H$13</f>
        <v>0.2</v>
      </c>
      <c r="AY70" s="408">
        <f>Inputs_CPs!$I$13</f>
        <v>0.2</v>
      </c>
      <c r="AZ70" s="408">
        <f>Inputs_CPs!$N$13</f>
        <v>0.2</v>
      </c>
      <c r="BA70" s="408">
        <f>Inputs_CPs!$O$13</f>
        <v>0.2</v>
      </c>
      <c r="BB70" s="408">
        <f>Inputs_CPs!$K$13</f>
        <v>0.2</v>
      </c>
      <c r="BC70" s="408">
        <f>Inputs_CPs!$L$13</f>
        <v>0.2</v>
      </c>
      <c r="BD70" s="408">
        <f>Inputs_CPs!$M$13</f>
        <v>0.2</v>
      </c>
      <c r="BE70" s="264"/>
      <c r="BF70" s="764"/>
      <c r="BG70" s="454"/>
      <c r="BH70" s="264"/>
      <c r="BI70" s="263"/>
      <c r="BJ70" s="408">
        <f>Inputs_CPs!$F$13</f>
        <v>0.2</v>
      </c>
      <c r="BK70" s="408">
        <f>Inputs_CPs!$G$13</f>
        <v>0.2</v>
      </c>
      <c r="BL70" s="408">
        <f>Inputs_CPs!$H$13</f>
        <v>0.2</v>
      </c>
      <c r="BM70" s="408">
        <f>Inputs_CPs!$I$13</f>
        <v>0.2</v>
      </c>
      <c r="BN70" s="408">
        <f>Inputs_CPs!$N$13</f>
        <v>0.2</v>
      </c>
      <c r="BO70" s="408">
        <f>Inputs_CPs!$O$13</f>
        <v>0.2</v>
      </c>
      <c r="BP70" s="408">
        <f>Inputs_CPs!$K$13</f>
        <v>0.2</v>
      </c>
      <c r="BQ70" s="408">
        <f>Inputs_CPs!$L$13</f>
        <v>0.2</v>
      </c>
      <c r="BR70" s="408">
        <f>Inputs_CPs!$M$13</f>
        <v>0.2</v>
      </c>
      <c r="BS70" s="263"/>
    </row>
    <row r="71" spans="1:71" ht="24" customHeight="1" x14ac:dyDescent="0.2">
      <c r="A71" s="312"/>
      <c r="B71" s="401"/>
      <c r="C71" s="157"/>
      <c r="D71" s="455" t="s">
        <v>111</v>
      </c>
      <c r="E71" s="456" t="s">
        <v>157</v>
      </c>
      <c r="F71" s="457" t="s">
        <v>61</v>
      </c>
      <c r="G71" s="470" t="s">
        <v>50</v>
      </c>
      <c r="H71" s="459" t="s">
        <v>152</v>
      </c>
      <c r="I71" s="739" t="s">
        <v>248</v>
      </c>
      <c r="J71" s="453"/>
      <c r="K71" s="408">
        <v>0</v>
      </c>
      <c r="L71" s="408">
        <f>Inputs_Estimates!$F$29</f>
        <v>0.7</v>
      </c>
      <c r="M71" s="439"/>
      <c r="N71" s="264"/>
      <c r="O71" s="739" t="s">
        <v>395</v>
      </c>
      <c r="P71" s="264"/>
      <c r="Q71" s="264"/>
      <c r="R71" s="264"/>
      <c r="S71" s="410">
        <f t="shared" ref="S71:Y72" si="96">(1+CAPEX_Factor)*((SUMIFS(S$102:S$266,$E$102:$E$266,$E71,$H$102:$H$266,$H71)*(1-$K71))+(SUMIFS(S$271:S$364,$E$271:$E$364,$E71,$H$271:$H$364,$H71)*(1-$L71)))</f>
        <v>79.200000000000017</v>
      </c>
      <c r="T71" s="410">
        <f t="shared" si="96"/>
        <v>118.80000000000001</v>
      </c>
      <c r="U71" s="410">
        <f t="shared" si="96"/>
        <v>79.200000000000017</v>
      </c>
      <c r="V71" s="410">
        <f t="shared" si="96"/>
        <v>79.200000000000017</v>
      </c>
      <c r="W71" s="410">
        <f t="shared" si="96"/>
        <v>217.80000000000007</v>
      </c>
      <c r="X71" s="410">
        <f t="shared" si="96"/>
        <v>79.200000000000017</v>
      </c>
      <c r="Y71" s="410">
        <f t="shared" si="96"/>
        <v>39.600000000000009</v>
      </c>
      <c r="Z71" s="410">
        <f>(1+CAPEX_Factor)*((SUMIFS(Z$102:Z$266,$E$102:$E$266,$E71,$H$102:$H$266,$H71)*(1-$K71))+(SUMIFS(Z$271:Z$364,$E$271:$E$364,$E71,$H$271:$H$364,$H71)*(1-$L71)*TierA_TPI_BEefforts))</f>
        <v>0</v>
      </c>
      <c r="AA71" s="410">
        <f>(1+CAPEX_Factor)*((SUMIFS(AA$102:AA$266,$E$102:$E$266,$E71,$H$102:$H$266,$H71)*(1-$K71))+(SUMIFS(AA$271:AA$364,$E$271:$E$364,$E71,$H$271:$H$364,$H71)*(1-$L71)*TierA_TPI_BEefforts))</f>
        <v>39.600000000000009</v>
      </c>
      <c r="AB71" s="264"/>
      <c r="AC71" s="739" t="s">
        <v>399</v>
      </c>
      <c r="AD71" s="467"/>
      <c r="AE71" s="264"/>
      <c r="AF71" s="263"/>
      <c r="AG71" s="410">
        <f t="shared" ref="AG71:AM72" si="97">(1+CAPEX_Factor)*((SUMIFS(AG$102:AG$266,$E$102:$E$266,$E71,$H$102:$H$266,$H71)*(1-$K71))+(SUMIFS(AG$271:AG$364,$E$271:$E$364,$E71,$H$271:$H$364,$H71)*(1-$L71)))</f>
        <v>95.287500000000037</v>
      </c>
      <c r="AH71" s="410">
        <f t="shared" si="97"/>
        <v>95.287500000000037</v>
      </c>
      <c r="AI71" s="410">
        <f t="shared" si="97"/>
        <v>95.287500000000037</v>
      </c>
      <c r="AJ71" s="410">
        <f t="shared" si="97"/>
        <v>95.287500000000037</v>
      </c>
      <c r="AK71" s="410">
        <f t="shared" si="97"/>
        <v>0</v>
      </c>
      <c r="AL71" s="410">
        <f t="shared" si="97"/>
        <v>0</v>
      </c>
      <c r="AM71" s="410">
        <f t="shared" si="97"/>
        <v>47.643750000000018</v>
      </c>
      <c r="AN71" s="410">
        <f>(1+CAPEX_Factor)*((SUMIFS(AN$102:AN$266,$E$102:$E$266,$E71,$H$102:$H$266,$H71)*(1-$K71))+(SUMIFS(AN$271:AN$364,$E$271:$E$364,$E71,$H$271:$H$364,$H71)*(1-$L71)*TierA_TPI_BEefforts))</f>
        <v>0</v>
      </c>
      <c r="AO71" s="410">
        <f>(1+CAPEX_Factor)*((SUMIFS(AO$102:AO$266,$E$102:$E$266,$E71,$H$102:$H$266,$H71)*(1-$K71))+(SUMIFS(AO$271:AO$364,$E$271:$E$364,$E71,$H$271:$H$364,$H71)*(1-$L71)*TierA_TPI_BEefforts))</f>
        <v>47.643750000000018</v>
      </c>
      <c r="AP71" s="264"/>
      <c r="AQ71" s="264"/>
      <c r="AR71" s="739" t="s">
        <v>395</v>
      </c>
      <c r="AS71" s="411"/>
      <c r="AT71" s="264"/>
      <c r="AU71" s="263"/>
      <c r="AV71" s="410">
        <f t="shared" ref="AV71:BB72" si="98">(1+CAPEX_Factor)*((SUMIFS(AV$102:AV$266,$E$102:$E$266,$E71,$H$102:$H$266,$H71)*(1-$K71))+(SUMIFS(AV$271:AV$364,$E$271:$E$364,$E71,$H$271:$H$364,$H71)*(1-$L71)))</f>
        <v>79.200000000000017</v>
      </c>
      <c r="AW71" s="410">
        <f t="shared" si="98"/>
        <v>118.80000000000001</v>
      </c>
      <c r="AX71" s="410">
        <f t="shared" si="98"/>
        <v>79.200000000000017</v>
      </c>
      <c r="AY71" s="410">
        <f t="shared" si="98"/>
        <v>79.200000000000017</v>
      </c>
      <c r="AZ71" s="410">
        <f t="shared" si="98"/>
        <v>217.80000000000007</v>
      </c>
      <c r="BA71" s="410">
        <f t="shared" si="98"/>
        <v>79.200000000000017</v>
      </c>
      <c r="BB71" s="410">
        <f t="shared" si="98"/>
        <v>39.600000000000009</v>
      </c>
      <c r="BC71" s="410">
        <f>(1+CAPEX_Factor)*((SUMIFS(BC$102:BC$266,$E$102:$E$266,$E71,$H$102:$H$266,$H71)*(1-$K71))+(SUMIFS(BC$271:BC$364,$E$271:$E$364,$E71,$H$271:$H$364,$H71)*(1-$L71)*TierA_TPI_BEefforts))</f>
        <v>0</v>
      </c>
      <c r="BD71" s="410">
        <f>(1+CAPEX_Factor)*((SUMIFS(BD$102:BD$266,$E$102:$E$266,$E71,$H$102:$H$266,$H71)*(1-$K71))+(SUMIFS(BD$271:BD$364,$E$271:$E$364,$E71,$H$271:$H$364,$H71)*(1-$L71)*TierA_TPI_BEefforts))</f>
        <v>39.600000000000009</v>
      </c>
      <c r="BE71" s="264"/>
      <c r="BF71" s="739" t="s">
        <v>395</v>
      </c>
      <c r="BG71" s="411"/>
      <c r="BH71" s="264"/>
      <c r="BI71" s="263"/>
      <c r="BJ71" s="410">
        <f t="shared" ref="BJ71:BP72" si="99">(1+CAPEX_Factor)*((SUMIFS(BJ$102:BJ$266,$E$102:$E$266,$E71,$H$102:$H$266,$H71)*(1-$K71))+(SUMIFS(BJ$271:BJ$364,$E$271:$E$364,$E71,$H$271:$H$364,$H71)*(1-$L71)))</f>
        <v>95.287500000000037</v>
      </c>
      <c r="BK71" s="410">
        <f t="shared" si="99"/>
        <v>95.287500000000037</v>
      </c>
      <c r="BL71" s="410">
        <f t="shared" si="99"/>
        <v>95.287500000000037</v>
      </c>
      <c r="BM71" s="410">
        <f t="shared" si="99"/>
        <v>95.287500000000037</v>
      </c>
      <c r="BN71" s="410">
        <f t="shared" si="99"/>
        <v>0</v>
      </c>
      <c r="BO71" s="410">
        <f t="shared" si="99"/>
        <v>0</v>
      </c>
      <c r="BP71" s="410">
        <f t="shared" si="99"/>
        <v>47.643750000000018</v>
      </c>
      <c r="BQ71" s="410">
        <f>(1+CAPEX_Factor)*((SUMIFS(BQ$102:BQ$266,$E$102:$E$266,$E71,$H$102:$H$266,$H71)*(1-$K71))+(SUMIFS(BQ$271:BQ$364,$E$271:$E$364,$E71,$H$271:$H$364,$H71)*(1-$L71)*TierA_TPI_BEefforts))</f>
        <v>0</v>
      </c>
      <c r="BR71" s="410">
        <f>(1+CAPEX_Factor)*((SUMIFS(BR$102:BR$266,$E$102:$E$266,$E71,$H$102:$H$266,$H71)*(1-$K71))+(SUMIFS(BR$271:BR$364,$E$271:$E$364,$E71,$H$271:$H$364,$H71)*(1-$L71)*TierA_TPI_BEefforts))</f>
        <v>47.643750000000018</v>
      </c>
      <c r="BS71" s="263"/>
    </row>
    <row r="72" spans="1:71" ht="24" customHeight="1" x14ac:dyDescent="0.2">
      <c r="A72" s="312"/>
      <c r="B72" s="401"/>
      <c r="C72" s="157"/>
      <c r="D72" s="455" t="s">
        <v>111</v>
      </c>
      <c r="E72" s="456" t="s">
        <v>157</v>
      </c>
      <c r="F72" s="457" t="s">
        <v>30</v>
      </c>
      <c r="G72" s="458" t="s">
        <v>50</v>
      </c>
      <c r="H72" s="459" t="s">
        <v>119</v>
      </c>
      <c r="I72" s="739"/>
      <c r="J72" s="453"/>
      <c r="K72" s="408">
        <v>0</v>
      </c>
      <c r="L72" s="408">
        <f>Inputs_Estimates!$F$30</f>
        <v>0.66666666666666674</v>
      </c>
      <c r="M72" s="439" t="s">
        <v>231</v>
      </c>
      <c r="N72" s="264"/>
      <c r="O72" s="739"/>
      <c r="P72" s="264"/>
      <c r="Q72" s="264"/>
      <c r="R72" s="264"/>
      <c r="S72" s="410">
        <f t="shared" si="96"/>
        <v>0</v>
      </c>
      <c r="T72" s="410">
        <f t="shared" si="96"/>
        <v>0</v>
      </c>
      <c r="U72" s="410">
        <f t="shared" si="96"/>
        <v>0</v>
      </c>
      <c r="V72" s="410">
        <f t="shared" si="96"/>
        <v>0</v>
      </c>
      <c r="W72" s="410">
        <f t="shared" si="96"/>
        <v>0</v>
      </c>
      <c r="X72" s="410">
        <f t="shared" si="96"/>
        <v>0</v>
      </c>
      <c r="Y72" s="410">
        <f t="shared" si="96"/>
        <v>0</v>
      </c>
      <c r="Z72" s="410">
        <f>(1+CAPEX_Factor)*((SUMIFS(Z$102:Z$266,$E$102:$E$266,$E72,$H$102:$H$266,$H72)*(1-$K72))+(SUMIFS(Z$271:Z$364,$E$271:$E$364,$E72,$H$271:$H$364,$H72)*(1-$L72)*TierA_TPI_BEefforts))</f>
        <v>0</v>
      </c>
      <c r="AA72" s="410">
        <f>(1+CAPEX_Factor)*((SUMIFS(AA$102:AA$266,$E$102:$E$266,$E72,$H$102:$H$266,$H72)*(1-$K72))+(SUMIFS(AA$271:AA$364,$E$271:$E$364,$E72,$H$271:$H$364,$H72)*(1-$L72)*TierA_TPI_BEefforts))</f>
        <v>0</v>
      </c>
      <c r="AB72" s="264"/>
      <c r="AC72" s="739"/>
      <c r="AD72" s="467"/>
      <c r="AE72" s="264"/>
      <c r="AF72" s="263"/>
      <c r="AG72" s="410">
        <f t="shared" si="97"/>
        <v>39999.999999999993</v>
      </c>
      <c r="AH72" s="410">
        <f t="shared" si="97"/>
        <v>39999.999999999993</v>
      </c>
      <c r="AI72" s="410">
        <f t="shared" si="97"/>
        <v>39999.999999999993</v>
      </c>
      <c r="AJ72" s="410">
        <f t="shared" si="97"/>
        <v>39999.999999999993</v>
      </c>
      <c r="AK72" s="410">
        <f t="shared" si="97"/>
        <v>0</v>
      </c>
      <c r="AL72" s="410">
        <f t="shared" si="97"/>
        <v>0</v>
      </c>
      <c r="AM72" s="410">
        <f t="shared" si="97"/>
        <v>19999.999999999996</v>
      </c>
      <c r="AN72" s="410">
        <f>(1+CAPEX_Factor)*((SUMIFS(AN$102:AN$266,$E$102:$E$266,$E72,$H$102:$H$266,$H72)*(1-$K72))+(SUMIFS(AN$271:AN$364,$E$271:$E$364,$E72,$H$271:$H$364,$H72)*(1-$L72)*TierA_TPI_BEefforts))</f>
        <v>0</v>
      </c>
      <c r="AO72" s="410">
        <f>(1+CAPEX_Factor)*((SUMIFS(AO$102:AO$266,$E$102:$E$266,$E72,$H$102:$H$266,$H72)*(1-$K72))+(SUMIFS(AO$271:AO$364,$E$271:$E$364,$E72,$H$271:$H$364,$H72)*(1-$L72)*TierA_TPI_BEefforts))</f>
        <v>19999.999999999996</v>
      </c>
      <c r="AP72" s="264"/>
      <c r="AQ72" s="264"/>
      <c r="AR72" s="739"/>
      <c r="AS72" s="411"/>
      <c r="AT72" s="264"/>
      <c r="AU72" s="263"/>
      <c r="AV72" s="410">
        <f t="shared" si="98"/>
        <v>0</v>
      </c>
      <c r="AW72" s="410">
        <f t="shared" si="98"/>
        <v>0</v>
      </c>
      <c r="AX72" s="410">
        <f t="shared" si="98"/>
        <v>0</v>
      </c>
      <c r="AY72" s="410">
        <f t="shared" si="98"/>
        <v>0</v>
      </c>
      <c r="AZ72" s="410">
        <f t="shared" si="98"/>
        <v>0</v>
      </c>
      <c r="BA72" s="410">
        <f t="shared" si="98"/>
        <v>0</v>
      </c>
      <c r="BB72" s="410">
        <f t="shared" si="98"/>
        <v>0</v>
      </c>
      <c r="BC72" s="410">
        <f>(1+CAPEX_Factor)*((SUMIFS(BC$102:BC$266,$E$102:$E$266,$E72,$H$102:$H$266,$H72)*(1-$K72))+(SUMIFS(BC$271:BC$364,$E$271:$E$364,$E72,$H$271:$H$364,$H72)*(1-$L72)*TierA_TPI_BEefforts))</f>
        <v>0</v>
      </c>
      <c r="BD72" s="410">
        <f>(1+CAPEX_Factor)*((SUMIFS(BD$102:BD$266,$E$102:$E$266,$E72,$H$102:$H$266,$H72)*(1-$K72))+(SUMIFS(BD$271:BD$364,$E$271:$E$364,$E72,$H$271:$H$364,$H72)*(1-$L72)*TierA_TPI_BEefforts))</f>
        <v>0</v>
      </c>
      <c r="BE72" s="264"/>
      <c r="BF72" s="739"/>
      <c r="BG72" s="411"/>
      <c r="BH72" s="264"/>
      <c r="BI72" s="263"/>
      <c r="BJ72" s="410">
        <f t="shared" si="99"/>
        <v>39999.999999999993</v>
      </c>
      <c r="BK72" s="410">
        <f t="shared" si="99"/>
        <v>39999.999999999993</v>
      </c>
      <c r="BL72" s="410">
        <f t="shared" si="99"/>
        <v>39999.999999999993</v>
      </c>
      <c r="BM72" s="410">
        <f t="shared" si="99"/>
        <v>39999.999999999993</v>
      </c>
      <c r="BN72" s="410">
        <f t="shared" si="99"/>
        <v>0</v>
      </c>
      <c r="BO72" s="410">
        <f t="shared" si="99"/>
        <v>0</v>
      </c>
      <c r="BP72" s="410">
        <f t="shared" si="99"/>
        <v>19999.999999999996</v>
      </c>
      <c r="BQ72" s="410">
        <f>(1+CAPEX_Factor)*((SUMIFS(BQ$102:BQ$266,$E$102:$E$266,$E72,$H$102:$H$266,$H72)*(1-$K72))+(SUMIFS(BQ$271:BQ$364,$E$271:$E$364,$E72,$H$271:$H$364,$H72)*(1-$L72)*TierA_TPI_BEefforts))</f>
        <v>0</v>
      </c>
      <c r="BR72" s="410">
        <f>(1+CAPEX_Factor)*((SUMIFS(BR$102:BR$266,$E$102:$E$266,$E72,$H$102:$H$266,$H72)*(1-$K72))+(SUMIFS(BR$271:BR$364,$E$271:$E$364,$E72,$H$271:$H$364,$H72)*(1-$L72)*TierA_TPI_BEefforts))</f>
        <v>19999.999999999996</v>
      </c>
      <c r="BS72" s="263"/>
    </row>
    <row r="73" spans="1:71" ht="24" customHeight="1" thickBot="1" x14ac:dyDescent="0.25">
      <c r="A73" s="312"/>
      <c r="B73" s="401"/>
      <c r="C73" s="157"/>
      <c r="D73" s="476" t="s">
        <v>111</v>
      </c>
      <c r="E73" s="477" t="s">
        <v>157</v>
      </c>
      <c r="F73" s="478" t="s">
        <v>49</v>
      </c>
      <c r="G73" s="479" t="s">
        <v>47</v>
      </c>
      <c r="H73" s="480" t="s">
        <v>120</v>
      </c>
      <c r="I73" s="739"/>
      <c r="J73" s="453"/>
      <c r="K73" s="408" t="s">
        <v>58</v>
      </c>
      <c r="L73" s="408" t="s">
        <v>58</v>
      </c>
      <c r="M73" s="409"/>
      <c r="N73" s="264"/>
      <c r="O73" s="739"/>
      <c r="P73" s="264"/>
      <c r="Q73" s="264"/>
      <c r="R73" s="264"/>
      <c r="S73" s="408">
        <f>Inputs_CPs!$F$13</f>
        <v>0.2</v>
      </c>
      <c r="T73" s="408">
        <f>Inputs_CPs!$G$13</f>
        <v>0.2</v>
      </c>
      <c r="U73" s="408">
        <f>Inputs_CPs!$H$13</f>
        <v>0.2</v>
      </c>
      <c r="V73" s="408">
        <f>Inputs_CPs!$I$13</f>
        <v>0.2</v>
      </c>
      <c r="W73" s="408">
        <f>Inputs_CPs!$N$13</f>
        <v>0.2</v>
      </c>
      <c r="X73" s="408">
        <f>Inputs_CPs!$O$13</f>
        <v>0.2</v>
      </c>
      <c r="Y73" s="408">
        <f>Inputs_CPs!$K$13</f>
        <v>0.2</v>
      </c>
      <c r="Z73" s="408">
        <f>Inputs_CPs!$L$13</f>
        <v>0.2</v>
      </c>
      <c r="AA73" s="408">
        <f>Inputs_CPs!$M$13</f>
        <v>0.2</v>
      </c>
      <c r="AB73" s="264"/>
      <c r="AC73" s="739"/>
      <c r="AD73" s="467"/>
      <c r="AE73" s="264"/>
      <c r="AF73" s="263"/>
      <c r="AG73" s="408">
        <f>Inputs_CPs!$F$13</f>
        <v>0.2</v>
      </c>
      <c r="AH73" s="408">
        <f>Inputs_CPs!$G$13</f>
        <v>0.2</v>
      </c>
      <c r="AI73" s="408">
        <f>Inputs_CPs!$H$13</f>
        <v>0.2</v>
      </c>
      <c r="AJ73" s="408">
        <f>Inputs_CPs!$I$13</f>
        <v>0.2</v>
      </c>
      <c r="AK73" s="408">
        <f>Inputs_CPs!$N$13</f>
        <v>0.2</v>
      </c>
      <c r="AL73" s="408">
        <f>Inputs_CPs!$O$13</f>
        <v>0.2</v>
      </c>
      <c r="AM73" s="408">
        <f>Inputs_CPs!$K$13</f>
        <v>0.2</v>
      </c>
      <c r="AN73" s="408">
        <f>Inputs_CPs!$L$13</f>
        <v>0.2</v>
      </c>
      <c r="AO73" s="408">
        <f>Inputs_CPs!$M$13</f>
        <v>0.2</v>
      </c>
      <c r="AP73" s="264"/>
      <c r="AQ73" s="264"/>
      <c r="AR73" s="739"/>
      <c r="AS73" s="411"/>
      <c r="AT73" s="264"/>
      <c r="AU73" s="263"/>
      <c r="AV73" s="408">
        <f>Inputs_CPs!$F$13</f>
        <v>0.2</v>
      </c>
      <c r="AW73" s="408">
        <f>Inputs_CPs!$G$13</f>
        <v>0.2</v>
      </c>
      <c r="AX73" s="408">
        <f>Inputs_CPs!$H$13</f>
        <v>0.2</v>
      </c>
      <c r="AY73" s="408">
        <f>Inputs_CPs!$I$13</f>
        <v>0.2</v>
      </c>
      <c r="AZ73" s="408">
        <f>Inputs_CPs!$N$13</f>
        <v>0.2</v>
      </c>
      <c r="BA73" s="408">
        <f>Inputs_CPs!$O$13</f>
        <v>0.2</v>
      </c>
      <c r="BB73" s="408">
        <f>Inputs_CPs!$K$13</f>
        <v>0.2</v>
      </c>
      <c r="BC73" s="408">
        <f>Inputs_CPs!$L$13</f>
        <v>0.2</v>
      </c>
      <c r="BD73" s="408">
        <f>Inputs_CPs!$M$13</f>
        <v>0.2</v>
      </c>
      <c r="BE73" s="264"/>
      <c r="BF73" s="739"/>
      <c r="BG73" s="411"/>
      <c r="BH73" s="264"/>
      <c r="BI73" s="263"/>
      <c r="BJ73" s="408">
        <f>Inputs_CPs!$F$13</f>
        <v>0.2</v>
      </c>
      <c r="BK73" s="408">
        <f>Inputs_CPs!$G$13</f>
        <v>0.2</v>
      </c>
      <c r="BL73" s="408">
        <f>Inputs_CPs!$H$13</f>
        <v>0.2</v>
      </c>
      <c r="BM73" s="408">
        <f>Inputs_CPs!$I$13</f>
        <v>0.2</v>
      </c>
      <c r="BN73" s="408">
        <f>Inputs_CPs!$N$13</f>
        <v>0.2</v>
      </c>
      <c r="BO73" s="408">
        <f>Inputs_CPs!$O$13</f>
        <v>0.2</v>
      </c>
      <c r="BP73" s="408">
        <f>Inputs_CPs!$K$13</f>
        <v>0.2</v>
      </c>
      <c r="BQ73" s="408">
        <f>Inputs_CPs!$L$13</f>
        <v>0.2</v>
      </c>
      <c r="BR73" s="408">
        <f>Inputs_CPs!$M$13</f>
        <v>0.2</v>
      </c>
      <c r="BS73" s="263"/>
    </row>
    <row r="74" spans="1:71" ht="24" customHeight="1" x14ac:dyDescent="0.2">
      <c r="A74" s="312"/>
      <c r="B74" s="401"/>
      <c r="C74" s="157"/>
      <c r="D74" s="481"/>
      <c r="E74" s="482"/>
      <c r="F74" s="483"/>
      <c r="G74" s="483"/>
      <c r="H74" s="484" t="s">
        <v>205</v>
      </c>
      <c r="I74" s="485"/>
      <c r="J74" s="453"/>
      <c r="K74" s="485"/>
      <c r="L74" s="485"/>
      <c r="M74" s="485"/>
      <c r="N74" s="264"/>
      <c r="O74" s="485"/>
      <c r="P74" s="264"/>
      <c r="Q74" s="264"/>
      <c r="R74" s="264"/>
      <c r="S74" s="486">
        <f>SUMIFS(S11:S73,$D$11:$D$73,$D$11,$H$11:$H$73,$H$11)</f>
        <v>211.86</v>
      </c>
      <c r="T74" s="486">
        <f>SUMIFS(T11:T73,$D$11:$D$73,$D$11,$H$11:$H$73,$H$11)</f>
        <v>211.86</v>
      </c>
      <c r="U74" s="486">
        <f t="shared" ref="U74:AA74" si="100">SUMIFS(U11:U73,$D$11:$D$73,$D$11,$H$11:$H$73,$H$11)</f>
        <v>211.86</v>
      </c>
      <c r="V74" s="486">
        <f t="shared" si="100"/>
        <v>211.86</v>
      </c>
      <c r="W74" s="486">
        <f t="shared" si="100"/>
        <v>0</v>
      </c>
      <c r="X74" s="486">
        <f t="shared" si="100"/>
        <v>31.680000000000003</v>
      </c>
      <c r="Y74" s="486">
        <f t="shared" si="100"/>
        <v>68.64</v>
      </c>
      <c r="Z74" s="486">
        <f t="shared" si="100"/>
        <v>13.200000000000001</v>
      </c>
      <c r="AA74" s="486">
        <f t="shared" si="100"/>
        <v>55.440000000000005</v>
      </c>
      <c r="AB74" s="264"/>
      <c r="AC74" s="487"/>
      <c r="AD74" s="488"/>
      <c r="AE74" s="264"/>
      <c r="AF74" s="487"/>
      <c r="AG74" s="486">
        <f>SUMIFS(AG11:AG73,$D$11:$D$73,$D$11,$H$11:$H$73,$H$11)</f>
        <v>211.86</v>
      </c>
      <c r="AH74" s="486">
        <f t="shared" ref="AH74:AO74" si="101">SUMIFS(AH11:AH73,$D$11:$D$73,$D$11,$H$11:$H$73,$H$11)</f>
        <v>211.86</v>
      </c>
      <c r="AI74" s="486">
        <f t="shared" si="101"/>
        <v>211.86</v>
      </c>
      <c r="AJ74" s="486">
        <f t="shared" si="101"/>
        <v>211.86</v>
      </c>
      <c r="AK74" s="486">
        <f t="shared" si="101"/>
        <v>0</v>
      </c>
      <c r="AL74" s="486">
        <f t="shared" si="101"/>
        <v>0</v>
      </c>
      <c r="AM74" s="486">
        <f t="shared" si="101"/>
        <v>81.84</v>
      </c>
      <c r="AN74" s="486">
        <f t="shared" si="101"/>
        <v>13.200000000000001</v>
      </c>
      <c r="AO74" s="486">
        <f t="shared" si="101"/>
        <v>68.640000000000015</v>
      </c>
      <c r="AP74" s="264"/>
      <c r="AQ74" s="264"/>
      <c r="AR74" s="487"/>
      <c r="AS74" s="488"/>
      <c r="AT74" s="264"/>
      <c r="AU74" s="487"/>
      <c r="AV74" s="486">
        <f>SUMIFS(AV11:AV73,$D$11:$D$73,$D$11,$H$11:$H$73,$H$11)</f>
        <v>264.66000000000003</v>
      </c>
      <c r="AW74" s="486">
        <f t="shared" ref="AW74:BD74" si="102">SUMIFS(AW11:AW73,$D$11:$D$73,$D$11,$H$11:$H$73,$H$11)</f>
        <v>264.66000000000003</v>
      </c>
      <c r="AX74" s="486">
        <f t="shared" si="102"/>
        <v>264.66000000000003</v>
      </c>
      <c r="AY74" s="486">
        <f t="shared" si="102"/>
        <v>264.66000000000003</v>
      </c>
      <c r="AZ74" s="486">
        <f t="shared" si="102"/>
        <v>0</v>
      </c>
      <c r="BA74" s="486">
        <f t="shared" si="102"/>
        <v>36.960000000000008</v>
      </c>
      <c r="BB74" s="486">
        <f t="shared" si="102"/>
        <v>119.13000000000001</v>
      </c>
      <c r="BC74" s="486">
        <f t="shared" si="102"/>
        <v>13.200000000000001</v>
      </c>
      <c r="BD74" s="486">
        <f t="shared" si="102"/>
        <v>105.93</v>
      </c>
      <c r="BE74" s="264"/>
      <c r="BF74" s="487"/>
      <c r="BG74" s="488"/>
      <c r="BH74" s="264"/>
      <c r="BI74" s="487"/>
      <c r="BJ74" s="486">
        <f>SUMIFS(BJ11:BJ73,$D$11:$D$73,$D$11,$H$11:$H$73,$H$11)</f>
        <v>264.66000000000003</v>
      </c>
      <c r="BK74" s="486">
        <f t="shared" ref="BK74:BR74" si="103">SUMIFS(BK11:BK73,$D$11:$D$73,$D$11,$H$11:$H$73,$H$11)</f>
        <v>264.66000000000003</v>
      </c>
      <c r="BL74" s="486">
        <f t="shared" si="103"/>
        <v>264.66000000000003</v>
      </c>
      <c r="BM74" s="486">
        <f t="shared" si="103"/>
        <v>264.66000000000003</v>
      </c>
      <c r="BN74" s="486">
        <f t="shared" si="103"/>
        <v>0</v>
      </c>
      <c r="BO74" s="486">
        <f t="shared" si="103"/>
        <v>0</v>
      </c>
      <c r="BP74" s="486">
        <f t="shared" si="103"/>
        <v>132.33000000000001</v>
      </c>
      <c r="BQ74" s="486">
        <f t="shared" si="103"/>
        <v>13.200000000000001</v>
      </c>
      <c r="BR74" s="486">
        <f t="shared" si="103"/>
        <v>119.13000000000001</v>
      </c>
      <c r="BS74" s="263"/>
    </row>
    <row r="75" spans="1:71" ht="24" customHeight="1" x14ac:dyDescent="0.2">
      <c r="A75" s="312"/>
      <c r="B75" s="401"/>
      <c r="C75" s="157"/>
      <c r="D75" s="481"/>
      <c r="E75" s="482"/>
      <c r="F75" s="483"/>
      <c r="G75" s="483"/>
      <c r="H75" s="484" t="s">
        <v>216</v>
      </c>
      <c r="I75" s="485"/>
      <c r="J75" s="453"/>
      <c r="K75" s="485"/>
      <c r="L75" s="485"/>
      <c r="M75" s="485"/>
      <c r="N75" s="264"/>
      <c r="O75" s="485"/>
      <c r="P75" s="264"/>
      <c r="Q75" s="264"/>
      <c r="R75" s="264"/>
      <c r="S75" s="486">
        <f>SUMIFS(S11:S73,$D$11:$D$73,$D$11,$H$11:$H$73,$H$13)</f>
        <v>6.44</v>
      </c>
      <c r="T75" s="486">
        <f>SUMIFS(T11:T73,$D$11:$D$73,$D$11,$H$11:$H$73,$H$13)</f>
        <v>8.0400000000000009</v>
      </c>
      <c r="U75" s="486">
        <f t="shared" ref="U75:AA75" si="104">SUMIFS(U11:U73,$D$11:$D$73,$D$11,$H$11:$H$73,$H$13)</f>
        <v>6.44</v>
      </c>
      <c r="V75" s="486">
        <f t="shared" si="104"/>
        <v>6.44</v>
      </c>
      <c r="W75" s="486">
        <f t="shared" si="104"/>
        <v>0</v>
      </c>
      <c r="X75" s="486">
        <f t="shared" si="104"/>
        <v>1.7600000000000002</v>
      </c>
      <c r="Y75" s="486">
        <f t="shared" si="104"/>
        <v>4.8400000000000007</v>
      </c>
      <c r="Z75" s="486">
        <f t="shared" si="104"/>
        <v>4.8400000000000007</v>
      </c>
      <c r="AA75" s="486">
        <f t="shared" si="104"/>
        <v>0</v>
      </c>
      <c r="AB75" s="264"/>
      <c r="AC75" s="487"/>
      <c r="AD75" s="488"/>
      <c r="AE75" s="264"/>
      <c r="AF75" s="487"/>
      <c r="AG75" s="486">
        <f>SUMIFS(AG11:AG73,$D$11:$D$73,$D$11,$H$11:$H$73,$H$13)</f>
        <v>6.44</v>
      </c>
      <c r="AH75" s="486">
        <f t="shared" ref="AH75:AO75" si="105">SUMIFS(AH11:AH73,$D$11:$D$73,$D$11,$H$11:$H$73,$H$13)</f>
        <v>8.0400000000000009</v>
      </c>
      <c r="AI75" s="486">
        <f t="shared" si="105"/>
        <v>6.44</v>
      </c>
      <c r="AJ75" s="486">
        <f t="shared" si="105"/>
        <v>6.44</v>
      </c>
      <c r="AK75" s="486">
        <f t="shared" si="105"/>
        <v>0</v>
      </c>
      <c r="AL75" s="486">
        <f t="shared" si="105"/>
        <v>0</v>
      </c>
      <c r="AM75" s="486">
        <f t="shared" si="105"/>
        <v>6.44</v>
      </c>
      <c r="AN75" s="486">
        <f t="shared" si="105"/>
        <v>6.44</v>
      </c>
      <c r="AO75" s="486">
        <f t="shared" si="105"/>
        <v>0</v>
      </c>
      <c r="AP75" s="264"/>
      <c r="AQ75" s="264"/>
      <c r="AR75" s="487"/>
      <c r="AS75" s="488"/>
      <c r="AT75" s="264"/>
      <c r="AU75" s="487"/>
      <c r="AV75" s="486">
        <f>SUMIFS(AV11:AV73,$D$11:$D$73,$D$11,$H$11:$H$73,$H$13)</f>
        <v>6.8400000000000007</v>
      </c>
      <c r="AW75" s="486">
        <f t="shared" ref="AW75:BD75" si="106">SUMIFS(AW11:AW73,$D$11:$D$73,$D$11,$H$11:$H$73,$H$13)</f>
        <v>8.4400000000000013</v>
      </c>
      <c r="AX75" s="486">
        <f t="shared" si="106"/>
        <v>6.8400000000000007</v>
      </c>
      <c r="AY75" s="486">
        <f t="shared" si="106"/>
        <v>6.8400000000000007</v>
      </c>
      <c r="AZ75" s="486">
        <f t="shared" si="106"/>
        <v>0</v>
      </c>
      <c r="BA75" s="486">
        <f t="shared" si="106"/>
        <v>1.7600000000000002</v>
      </c>
      <c r="BB75" s="486">
        <f t="shared" si="106"/>
        <v>5.2400000000000011</v>
      </c>
      <c r="BC75" s="486">
        <f t="shared" si="106"/>
        <v>5.2400000000000011</v>
      </c>
      <c r="BD75" s="486">
        <f t="shared" si="106"/>
        <v>0</v>
      </c>
      <c r="BE75" s="264"/>
      <c r="BF75" s="487"/>
      <c r="BG75" s="488"/>
      <c r="BH75" s="264"/>
      <c r="BI75" s="487"/>
      <c r="BJ75" s="486">
        <f>SUMIFS(BJ11:BJ73,$D$11:$D$73,$D$11,$H$11:$H$73,$H$13)</f>
        <v>6.8400000000000007</v>
      </c>
      <c r="BK75" s="486">
        <f t="shared" ref="BK75:BR75" si="107">SUMIFS(BK11:BK73,$D$11:$D$73,$D$11,$H$11:$H$73,$H$13)</f>
        <v>8.4400000000000013</v>
      </c>
      <c r="BL75" s="486">
        <f t="shared" si="107"/>
        <v>6.8400000000000007</v>
      </c>
      <c r="BM75" s="486">
        <f t="shared" si="107"/>
        <v>6.8400000000000007</v>
      </c>
      <c r="BN75" s="486">
        <f t="shared" si="107"/>
        <v>0</v>
      </c>
      <c r="BO75" s="486">
        <f t="shared" si="107"/>
        <v>0</v>
      </c>
      <c r="BP75" s="486">
        <f t="shared" si="107"/>
        <v>6.8400000000000007</v>
      </c>
      <c r="BQ75" s="486">
        <f t="shared" si="107"/>
        <v>6.8400000000000007</v>
      </c>
      <c r="BR75" s="486">
        <f t="shared" si="107"/>
        <v>0</v>
      </c>
      <c r="BS75" s="263"/>
    </row>
    <row r="76" spans="1:71" ht="24" customHeight="1" x14ac:dyDescent="0.2">
      <c r="A76" s="312"/>
      <c r="B76" s="401"/>
      <c r="C76" s="157"/>
      <c r="D76" s="481"/>
      <c r="E76" s="482"/>
      <c r="F76" s="483"/>
      <c r="G76" s="483"/>
      <c r="H76" s="484" t="s">
        <v>204</v>
      </c>
      <c r="I76" s="485"/>
      <c r="J76" s="453"/>
      <c r="K76" s="485"/>
      <c r="L76" s="485"/>
      <c r="M76" s="489"/>
      <c r="N76" s="264"/>
      <c r="O76" s="485"/>
      <c r="P76" s="264"/>
      <c r="Q76" s="264"/>
      <c r="R76" s="264"/>
      <c r="S76" s="486">
        <f>SUMIFS(S11:S73,$D$11:$D$73,$D$35,$H$11:$H$73,$H$35)</f>
        <v>645.1500000000002</v>
      </c>
      <c r="T76" s="486">
        <f t="shared" ref="T76:AA76" si="108">SUMIFS(T11:T73,$D$11:$D$73,$D$35,$H$11:$H$73,$H$35)</f>
        <v>856.35000000000014</v>
      </c>
      <c r="U76" s="486">
        <f t="shared" si="108"/>
        <v>645.1500000000002</v>
      </c>
      <c r="V76" s="486">
        <f t="shared" si="108"/>
        <v>645.1500000000002</v>
      </c>
      <c r="W76" s="486">
        <f t="shared" si="108"/>
        <v>435.60000000000014</v>
      </c>
      <c r="X76" s="486">
        <f t="shared" si="108"/>
        <v>381.15000000000009</v>
      </c>
      <c r="Y76" s="486">
        <f t="shared" si="108"/>
        <v>296.17500000000007</v>
      </c>
      <c r="Z76" s="486">
        <f t="shared" si="108"/>
        <v>0</v>
      </c>
      <c r="AA76" s="486">
        <f t="shared" si="108"/>
        <v>296.17500000000007</v>
      </c>
      <c r="AB76" s="264"/>
      <c r="AC76" s="487"/>
      <c r="AD76" s="488"/>
      <c r="AE76" s="264"/>
      <c r="AF76" s="487"/>
      <c r="AG76" s="486">
        <f>SUMIFS(AG11:AG73,$D$11:$D$73,$D$35,$H$11:$H$73,$H$35)</f>
        <v>709.50000000000011</v>
      </c>
      <c r="AH76" s="486">
        <f t="shared" ref="AH76:AO76" si="109">SUMIFS(AH11:AH73,$D$11:$D$73,$D$35,$H$11:$H$73,$H$35)</f>
        <v>762.30000000000007</v>
      </c>
      <c r="AI76" s="486">
        <f t="shared" si="109"/>
        <v>709.50000000000011</v>
      </c>
      <c r="AJ76" s="486">
        <f t="shared" si="109"/>
        <v>709.50000000000011</v>
      </c>
      <c r="AK76" s="486">
        <f t="shared" si="109"/>
        <v>0</v>
      </c>
      <c r="AL76" s="486">
        <f t="shared" si="109"/>
        <v>0</v>
      </c>
      <c r="AM76" s="486">
        <f t="shared" si="109"/>
        <v>354.75000000000006</v>
      </c>
      <c r="AN76" s="486">
        <f t="shared" si="109"/>
        <v>0</v>
      </c>
      <c r="AO76" s="486">
        <f t="shared" si="109"/>
        <v>354.75000000000006</v>
      </c>
      <c r="AP76" s="264"/>
      <c r="AQ76" s="264"/>
      <c r="AR76" s="487"/>
      <c r="AS76" s="488"/>
      <c r="AT76" s="264"/>
      <c r="AU76" s="487"/>
      <c r="AV76" s="486">
        <f>SUMIFS(AV11:AV73,$D$11:$D$73,$D$35,$H$11:$H$73,$H$35)</f>
        <v>698.61</v>
      </c>
      <c r="AW76" s="486">
        <f t="shared" ref="AW76:BD76" si="110">SUMIFS(AW11:AW73,$D$11:$D$73,$D$35,$H$11:$H$73,$H$35)</f>
        <v>909.81</v>
      </c>
      <c r="AX76" s="486">
        <f t="shared" si="110"/>
        <v>698.61</v>
      </c>
      <c r="AY76" s="486">
        <f t="shared" si="110"/>
        <v>698.61</v>
      </c>
      <c r="AZ76" s="486">
        <f t="shared" si="110"/>
        <v>435.60000000000014</v>
      </c>
      <c r="BA76" s="486">
        <f t="shared" si="110"/>
        <v>381.15000000000009</v>
      </c>
      <c r="BB76" s="486">
        <f t="shared" si="110"/>
        <v>322.90500000000003</v>
      </c>
      <c r="BC76" s="486">
        <f t="shared" si="110"/>
        <v>0</v>
      </c>
      <c r="BD76" s="486">
        <f t="shared" si="110"/>
        <v>322.90500000000003</v>
      </c>
      <c r="BE76" s="264"/>
      <c r="BF76" s="490"/>
      <c r="BG76" s="488"/>
      <c r="BH76" s="264"/>
      <c r="BI76" s="487"/>
      <c r="BJ76" s="486">
        <f>SUMIFS(BJ11:BJ73,$D$11:$D$73,$D$35,$H$11:$H$73,$H$35)</f>
        <v>762.96</v>
      </c>
      <c r="BK76" s="486">
        <f t="shared" ref="BK76:BR76" si="111">SUMIFS(BK11:BK73,$D$11:$D$73,$D$35,$H$11:$H$73,$H$35)</f>
        <v>815.7600000000001</v>
      </c>
      <c r="BL76" s="486">
        <f t="shared" si="111"/>
        <v>762.96</v>
      </c>
      <c r="BM76" s="486">
        <f t="shared" si="111"/>
        <v>762.96</v>
      </c>
      <c r="BN76" s="486">
        <f t="shared" si="111"/>
        <v>0</v>
      </c>
      <c r="BO76" s="486">
        <f t="shared" si="111"/>
        <v>0</v>
      </c>
      <c r="BP76" s="486">
        <f t="shared" si="111"/>
        <v>381.48</v>
      </c>
      <c r="BQ76" s="486">
        <f t="shared" si="111"/>
        <v>0</v>
      </c>
      <c r="BR76" s="486">
        <f t="shared" si="111"/>
        <v>381.48</v>
      </c>
      <c r="BS76" s="491"/>
    </row>
    <row r="77" spans="1:71" ht="24" customHeight="1" x14ac:dyDescent="0.2">
      <c r="A77" s="312"/>
      <c r="B77" s="401"/>
      <c r="C77" s="157"/>
      <c r="D77" s="481"/>
      <c r="E77" s="482"/>
      <c r="F77" s="483"/>
      <c r="G77" s="483"/>
      <c r="H77" s="484" t="s">
        <v>309</v>
      </c>
      <c r="I77" s="485"/>
      <c r="J77" s="453"/>
      <c r="K77" s="485"/>
      <c r="L77" s="485"/>
      <c r="M77" s="485"/>
      <c r="N77" s="264"/>
      <c r="O77" s="485"/>
      <c r="P77" s="264"/>
      <c r="Q77" s="264"/>
      <c r="R77" s="264"/>
      <c r="S77" s="486">
        <f>SUMIFS(S11:S73,$D$11:$D$73,$D$35,$H$11:$H$73,$H$36)</f>
        <v>0</v>
      </c>
      <c r="T77" s="492">
        <f t="shared" ref="T77:AA77" si="112">SUMIFS(T11:T73,$D$11:$D$73,$D$35,$H$11:$H$73,$H$36)</f>
        <v>50000</v>
      </c>
      <c r="U77" s="486">
        <f t="shared" si="112"/>
        <v>0</v>
      </c>
      <c r="V77" s="486">
        <f t="shared" si="112"/>
        <v>0</v>
      </c>
      <c r="W77" s="486">
        <f t="shared" si="112"/>
        <v>0</v>
      </c>
      <c r="X77" s="486">
        <f t="shared" si="112"/>
        <v>0</v>
      </c>
      <c r="Y77" s="486">
        <f t="shared" si="112"/>
        <v>0</v>
      </c>
      <c r="Z77" s="486">
        <f t="shared" si="112"/>
        <v>0</v>
      </c>
      <c r="AA77" s="486">
        <f t="shared" si="112"/>
        <v>0</v>
      </c>
      <c r="AB77" s="264"/>
      <c r="AC77" s="487"/>
      <c r="AD77" s="488"/>
      <c r="AE77" s="264"/>
      <c r="AF77" s="487"/>
      <c r="AG77" s="492">
        <f>SUMIFS(AG11:AG73,$D$11:$D$73,$D$35,$H$11:$H$73,$H$36)</f>
        <v>39999.999999999993</v>
      </c>
      <c r="AH77" s="492">
        <f t="shared" ref="AH77:AO77" si="113">SUMIFS(AH11:AH73,$D$11:$D$73,$D$35,$H$11:$H$73,$H$36)</f>
        <v>90000</v>
      </c>
      <c r="AI77" s="492">
        <f t="shared" si="113"/>
        <v>39999.999999999993</v>
      </c>
      <c r="AJ77" s="492">
        <f t="shared" si="113"/>
        <v>39999.999999999993</v>
      </c>
      <c r="AK77" s="492">
        <f t="shared" si="113"/>
        <v>0</v>
      </c>
      <c r="AL77" s="492">
        <f t="shared" si="113"/>
        <v>0</v>
      </c>
      <c r="AM77" s="492">
        <f t="shared" si="113"/>
        <v>19999.999999999996</v>
      </c>
      <c r="AN77" s="492">
        <f t="shared" si="113"/>
        <v>0</v>
      </c>
      <c r="AO77" s="492">
        <f t="shared" si="113"/>
        <v>19999.999999999996</v>
      </c>
      <c r="AP77" s="264"/>
      <c r="AQ77" s="264"/>
      <c r="AR77" s="487"/>
      <c r="AS77" s="488"/>
      <c r="AT77" s="264"/>
      <c r="AU77" s="487"/>
      <c r="AV77" s="492">
        <f>SUMIFS(AV11:AV73,$D$11:$D$73,$D$35,$H$11:$H$73,$H$36)</f>
        <v>0</v>
      </c>
      <c r="AW77" s="492">
        <f t="shared" ref="AW77:BD77" si="114">SUMIFS(AW11:AW73,$D$11:$D$73,$D$35,$H$11:$H$73,$H$36)</f>
        <v>50000</v>
      </c>
      <c r="AX77" s="492">
        <f t="shared" si="114"/>
        <v>0</v>
      </c>
      <c r="AY77" s="492">
        <f t="shared" si="114"/>
        <v>0</v>
      </c>
      <c r="AZ77" s="492">
        <f t="shared" si="114"/>
        <v>0</v>
      </c>
      <c r="BA77" s="492">
        <f t="shared" si="114"/>
        <v>0</v>
      </c>
      <c r="BB77" s="492">
        <f t="shared" si="114"/>
        <v>0</v>
      </c>
      <c r="BC77" s="492">
        <f t="shared" si="114"/>
        <v>0</v>
      </c>
      <c r="BD77" s="492">
        <f t="shared" si="114"/>
        <v>0</v>
      </c>
      <c r="BE77" s="264"/>
      <c r="BF77" s="487"/>
      <c r="BG77" s="488"/>
      <c r="BH77" s="264"/>
      <c r="BI77" s="487"/>
      <c r="BJ77" s="492">
        <f>SUMIFS(BJ11:BJ73,$D$11:$D$73,$D$35,$H$11:$H$73,$H$36)</f>
        <v>39999.999999999993</v>
      </c>
      <c r="BK77" s="492">
        <f t="shared" ref="BK77:BR77" si="115">SUMIFS(BK11:BK73,$D$11:$D$73,$D$35,$H$11:$H$73,$H$36)</f>
        <v>90000</v>
      </c>
      <c r="BL77" s="492">
        <f t="shared" si="115"/>
        <v>39999.999999999993</v>
      </c>
      <c r="BM77" s="492">
        <f t="shared" si="115"/>
        <v>39999.999999999993</v>
      </c>
      <c r="BN77" s="492">
        <f t="shared" si="115"/>
        <v>0</v>
      </c>
      <c r="BO77" s="492">
        <f t="shared" si="115"/>
        <v>0</v>
      </c>
      <c r="BP77" s="492">
        <f t="shared" si="115"/>
        <v>19999.999999999996</v>
      </c>
      <c r="BQ77" s="492">
        <f t="shared" si="115"/>
        <v>0</v>
      </c>
      <c r="BR77" s="492">
        <f t="shared" si="115"/>
        <v>19999.999999999996</v>
      </c>
      <c r="BS77" s="491"/>
    </row>
    <row r="78" spans="1:71" ht="24" customHeight="1" x14ac:dyDescent="0.2">
      <c r="A78" s="312"/>
      <c r="B78" s="401"/>
      <c r="C78" s="157"/>
      <c r="D78" s="481"/>
      <c r="E78" s="482"/>
      <c r="F78" s="483"/>
      <c r="G78" s="483"/>
      <c r="H78" s="484" t="s">
        <v>424</v>
      </c>
      <c r="I78" s="485"/>
      <c r="J78" s="453"/>
      <c r="K78" s="485"/>
      <c r="L78" s="485"/>
      <c r="M78" s="485"/>
      <c r="N78" s="264"/>
      <c r="O78" s="485"/>
      <c r="P78" s="264"/>
      <c r="Q78" s="264"/>
      <c r="R78" s="264"/>
      <c r="S78" s="486">
        <f t="shared" ref="S78:T78" si="116">S74+S76</f>
        <v>857.01000000000022</v>
      </c>
      <c r="T78" s="486">
        <f t="shared" si="116"/>
        <v>1068.21</v>
      </c>
      <c r="U78" s="486">
        <f>U74+U76</f>
        <v>857.01000000000022</v>
      </c>
      <c r="V78" s="486">
        <f t="shared" ref="V78:AA78" si="117">V74+V76</f>
        <v>857.01000000000022</v>
      </c>
      <c r="W78" s="486">
        <f t="shared" si="117"/>
        <v>435.60000000000014</v>
      </c>
      <c r="X78" s="486">
        <f t="shared" si="117"/>
        <v>412.8300000000001</v>
      </c>
      <c r="Y78" s="486">
        <f t="shared" si="117"/>
        <v>364.81500000000005</v>
      </c>
      <c r="Z78" s="486">
        <f t="shared" si="117"/>
        <v>13.200000000000001</v>
      </c>
      <c r="AA78" s="486">
        <f t="shared" si="117"/>
        <v>351.61500000000007</v>
      </c>
      <c r="AB78" s="264"/>
      <c r="AC78" s="487"/>
      <c r="AD78" s="488"/>
      <c r="AE78" s="264"/>
      <c r="AF78" s="487"/>
      <c r="AG78" s="492">
        <f t="shared" ref="AG78:AH78" si="118">AG74+AG76</f>
        <v>921.36000000000013</v>
      </c>
      <c r="AH78" s="492">
        <f t="shared" si="118"/>
        <v>974.16000000000008</v>
      </c>
      <c r="AI78" s="492">
        <f>AI74+AI76</f>
        <v>921.36000000000013</v>
      </c>
      <c r="AJ78" s="492">
        <f t="shared" ref="AJ78:AO78" si="119">AJ74+AJ76</f>
        <v>921.36000000000013</v>
      </c>
      <c r="AK78" s="492">
        <f t="shared" si="119"/>
        <v>0</v>
      </c>
      <c r="AL78" s="492">
        <f t="shared" si="119"/>
        <v>0</v>
      </c>
      <c r="AM78" s="492">
        <f t="shared" si="119"/>
        <v>436.59000000000003</v>
      </c>
      <c r="AN78" s="492">
        <f t="shared" si="119"/>
        <v>13.200000000000001</v>
      </c>
      <c r="AO78" s="492">
        <f t="shared" si="119"/>
        <v>423.3900000000001</v>
      </c>
      <c r="AP78" s="493"/>
      <c r="AQ78" s="493"/>
      <c r="AR78" s="494"/>
      <c r="AS78" s="495"/>
      <c r="AT78" s="493"/>
      <c r="AU78" s="494"/>
      <c r="AV78" s="492">
        <f t="shared" ref="AV78:AW78" si="120">AV74+AV76</f>
        <v>963.27</v>
      </c>
      <c r="AW78" s="492">
        <f t="shared" si="120"/>
        <v>1174.47</v>
      </c>
      <c r="AX78" s="492">
        <f>AX74+AX76</f>
        <v>963.27</v>
      </c>
      <c r="AY78" s="492">
        <f t="shared" ref="AY78:BD78" si="121">AY74+AY76</f>
        <v>963.27</v>
      </c>
      <c r="AZ78" s="492">
        <f t="shared" si="121"/>
        <v>435.60000000000014</v>
      </c>
      <c r="BA78" s="492">
        <f t="shared" si="121"/>
        <v>418.11000000000013</v>
      </c>
      <c r="BB78" s="492">
        <f t="shared" si="121"/>
        <v>442.03500000000003</v>
      </c>
      <c r="BC78" s="492">
        <f t="shared" si="121"/>
        <v>13.200000000000001</v>
      </c>
      <c r="BD78" s="492">
        <f t="shared" si="121"/>
        <v>428.83500000000004</v>
      </c>
      <c r="BE78" s="493"/>
      <c r="BF78" s="494"/>
      <c r="BG78" s="495"/>
      <c r="BH78" s="493"/>
      <c r="BI78" s="494"/>
      <c r="BJ78" s="492">
        <f t="shared" ref="BJ78:BK78" si="122">BJ74+BJ76</f>
        <v>1027.6200000000001</v>
      </c>
      <c r="BK78" s="492">
        <f t="shared" si="122"/>
        <v>1080.42</v>
      </c>
      <c r="BL78" s="492">
        <f>BL74+BL76</f>
        <v>1027.6200000000001</v>
      </c>
      <c r="BM78" s="492">
        <f t="shared" ref="BM78:BR78" si="123">BM74+BM76</f>
        <v>1027.6200000000001</v>
      </c>
      <c r="BN78" s="492">
        <f t="shared" si="123"/>
        <v>0</v>
      </c>
      <c r="BO78" s="492">
        <f t="shared" si="123"/>
        <v>0</v>
      </c>
      <c r="BP78" s="492">
        <f t="shared" si="123"/>
        <v>513.81000000000006</v>
      </c>
      <c r="BQ78" s="492">
        <f t="shared" si="123"/>
        <v>13.200000000000001</v>
      </c>
      <c r="BR78" s="492">
        <f t="shared" si="123"/>
        <v>500.61</v>
      </c>
      <c r="BS78" s="491"/>
    </row>
    <row r="79" spans="1:71" ht="24" customHeight="1" x14ac:dyDescent="0.2">
      <c r="A79" s="312"/>
      <c r="B79" s="401"/>
      <c r="C79" s="157"/>
      <c r="D79" s="481"/>
      <c r="E79" s="482"/>
      <c r="F79" s="483"/>
      <c r="G79" s="483"/>
      <c r="H79" s="484"/>
      <c r="I79" s="485"/>
      <c r="J79" s="453"/>
      <c r="K79" s="485"/>
      <c r="L79" s="485"/>
      <c r="M79" s="485"/>
      <c r="N79" s="264"/>
      <c r="O79" s="485"/>
      <c r="P79" s="264"/>
      <c r="Q79" s="264"/>
      <c r="R79" s="264"/>
      <c r="S79" s="486"/>
      <c r="T79" s="492"/>
      <c r="U79" s="486"/>
      <c r="V79" s="486"/>
      <c r="W79" s="486"/>
      <c r="X79" s="486"/>
      <c r="Y79" s="486"/>
      <c r="Z79" s="486"/>
      <c r="AA79" s="486"/>
      <c r="AB79" s="264"/>
      <c r="AC79" s="487"/>
      <c r="AD79" s="488"/>
      <c r="AE79" s="264"/>
      <c r="AF79" s="487"/>
      <c r="AG79" s="492"/>
      <c r="AH79" s="492"/>
      <c r="AI79" s="492"/>
      <c r="AJ79" s="492"/>
      <c r="AK79" s="492"/>
      <c r="AL79" s="492"/>
      <c r="AM79" s="492"/>
      <c r="AN79" s="492"/>
      <c r="AO79" s="492"/>
      <c r="AP79" s="264"/>
      <c r="AQ79" s="264"/>
      <c r="AR79" s="487"/>
      <c r="AS79" s="488"/>
      <c r="AT79" s="264"/>
      <c r="AU79" s="487"/>
      <c r="AV79" s="492"/>
      <c r="AW79" s="492"/>
      <c r="AX79" s="492"/>
      <c r="AY79" s="492"/>
      <c r="AZ79" s="492"/>
      <c r="BA79" s="492"/>
      <c r="BB79" s="492"/>
      <c r="BC79" s="492"/>
      <c r="BD79" s="492"/>
      <c r="BE79" s="264"/>
      <c r="BF79" s="487"/>
      <c r="BG79" s="488"/>
      <c r="BH79" s="264"/>
      <c r="BI79" s="487"/>
      <c r="BJ79" s="492"/>
      <c r="BK79" s="492"/>
      <c r="BL79" s="492"/>
      <c r="BM79" s="492"/>
      <c r="BN79" s="492"/>
      <c r="BO79" s="492"/>
      <c r="BP79" s="492"/>
      <c r="BQ79" s="492"/>
      <c r="BR79" s="492"/>
      <c r="BS79" s="491"/>
    </row>
    <row r="80" spans="1:71" ht="105" customHeight="1" x14ac:dyDescent="0.2">
      <c r="A80" s="400"/>
      <c r="B80" s="396"/>
      <c r="C80" s="396" t="s">
        <v>108</v>
      </c>
      <c r="D80" s="496" t="s">
        <v>184</v>
      </c>
      <c r="E80" s="497"/>
      <c r="F80" s="497"/>
      <c r="G80" s="498"/>
      <c r="H80" s="499" t="s">
        <v>508</v>
      </c>
      <c r="I80" s="500"/>
      <c r="J80" s="497"/>
      <c r="K80" s="501"/>
      <c r="L80" s="501"/>
      <c r="M80" s="501"/>
      <c r="N80" s="497"/>
      <c r="O80" s="502"/>
      <c r="P80" s="497"/>
      <c r="Q80" s="497"/>
      <c r="R80" s="497"/>
      <c r="S80" s="503"/>
      <c r="T80" s="503"/>
      <c r="U80" s="503"/>
      <c r="V80" s="503"/>
      <c r="W80" s="503"/>
      <c r="X80" s="503"/>
      <c r="Y80" s="503"/>
      <c r="Z80" s="503"/>
      <c r="AA80" s="503"/>
      <c r="AB80" s="504"/>
      <c r="AC80" s="502"/>
      <c r="AD80" s="501"/>
      <c r="AE80" s="497"/>
      <c r="AF80" s="497"/>
      <c r="AG80" s="503"/>
      <c r="AH80" s="503"/>
      <c r="AI80" s="503"/>
      <c r="AJ80" s="503"/>
      <c r="AK80" s="503"/>
      <c r="AL80" s="503"/>
      <c r="AM80" s="503"/>
      <c r="AN80" s="503"/>
      <c r="AO80" s="503"/>
      <c r="AP80" s="505"/>
      <c r="AQ80" s="505"/>
      <c r="AR80" s="502"/>
      <c r="AS80" s="501"/>
      <c r="AT80" s="497"/>
      <c r="AU80" s="497"/>
      <c r="AV80" s="497"/>
      <c r="AW80" s="497"/>
      <c r="AX80" s="497"/>
      <c r="AY80" s="497"/>
      <c r="AZ80" s="497"/>
      <c r="BA80" s="497"/>
      <c r="BB80" s="497"/>
      <c r="BC80" s="497"/>
      <c r="BD80" s="497"/>
      <c r="BE80" s="505"/>
      <c r="BF80" s="502"/>
      <c r="BG80" s="501"/>
      <c r="BH80" s="497"/>
      <c r="BI80" s="497"/>
      <c r="BJ80" s="497"/>
      <c r="BK80" s="497"/>
      <c r="BL80" s="497"/>
      <c r="BM80" s="497"/>
      <c r="BN80" s="497"/>
      <c r="BO80" s="497"/>
      <c r="BP80" s="497"/>
      <c r="BQ80" s="497"/>
      <c r="BR80" s="497"/>
      <c r="BS80" s="263"/>
    </row>
    <row r="81" spans="1:71" ht="12.75" outlineLevel="1" x14ac:dyDescent="0.2">
      <c r="A81" s="400"/>
      <c r="B81" s="158"/>
      <c r="C81" s="158"/>
      <c r="D81" s="158"/>
      <c r="E81" s="158"/>
      <c r="F81" s="158"/>
      <c r="G81" s="506"/>
      <c r="H81" s="158"/>
      <c r="I81" s="345"/>
      <c r="J81" s="93"/>
      <c r="K81" s="345"/>
      <c r="L81" s="345"/>
      <c r="M81" s="345"/>
      <c r="N81" s="93"/>
      <c r="O81" s="345"/>
      <c r="P81" s="93"/>
      <c r="Q81" s="93"/>
      <c r="R81" s="93"/>
      <c r="S81" s="507"/>
      <c r="T81" s="507"/>
      <c r="U81" s="507"/>
      <c r="V81" s="507"/>
      <c r="W81" s="507"/>
      <c r="X81" s="507"/>
      <c r="Y81" s="507"/>
      <c r="Z81" s="507"/>
      <c r="AA81" s="507"/>
      <c r="AB81" s="93"/>
      <c r="AC81" s="345"/>
      <c r="AD81" s="508"/>
      <c r="AE81" s="93"/>
      <c r="AF81" s="158"/>
      <c r="AG81" s="507"/>
      <c r="AH81" s="507"/>
      <c r="AI81" s="507"/>
      <c r="AJ81" s="507"/>
      <c r="AK81" s="507"/>
      <c r="AL81" s="507"/>
      <c r="AM81" s="507"/>
      <c r="AN81" s="507"/>
      <c r="AO81" s="507"/>
      <c r="AP81" s="264"/>
      <c r="AQ81" s="264"/>
      <c r="AR81" s="345"/>
      <c r="AS81" s="508"/>
      <c r="AT81" s="93"/>
      <c r="AU81" s="158"/>
      <c r="AV81" s="158"/>
      <c r="AW81" s="158"/>
      <c r="AX81" s="158"/>
      <c r="AY81" s="158"/>
      <c r="AZ81" s="158"/>
      <c r="BA81" s="158"/>
      <c r="BB81" s="158"/>
      <c r="BC81" s="158"/>
      <c r="BD81" s="158"/>
      <c r="BE81" s="264"/>
      <c r="BF81" s="345"/>
      <c r="BG81" s="508"/>
      <c r="BH81" s="93"/>
      <c r="BI81" s="158"/>
      <c r="BJ81" s="158"/>
      <c r="BK81" s="158"/>
      <c r="BL81" s="158"/>
      <c r="BM81" s="158"/>
      <c r="BN81" s="158"/>
      <c r="BO81" s="158"/>
      <c r="BP81" s="158"/>
      <c r="BQ81" s="158"/>
      <c r="BR81" s="158"/>
      <c r="BS81" s="263"/>
    </row>
    <row r="82" spans="1:71" ht="24" customHeight="1" outlineLevel="1" x14ac:dyDescent="0.2">
      <c r="A82" s="400"/>
      <c r="B82" s="509" t="s">
        <v>108</v>
      </c>
      <c r="C82" s="510" t="s">
        <v>160</v>
      </c>
      <c r="D82" s="511" t="s">
        <v>109</v>
      </c>
      <c r="E82" s="413" t="s">
        <v>175</v>
      </c>
      <c r="F82" s="512" t="s">
        <v>51</v>
      </c>
      <c r="G82" s="413" t="s">
        <v>50</v>
      </c>
      <c r="H82" s="511" t="s">
        <v>214</v>
      </c>
      <c r="I82" s="736" t="s">
        <v>237</v>
      </c>
      <c r="J82" s="411"/>
      <c r="K82" s="408">
        <f>Inputs_Estimates!$E$28</f>
        <v>0.2</v>
      </c>
      <c r="L82" s="513"/>
      <c r="M82" s="472" t="s">
        <v>486</v>
      </c>
      <c r="N82" s="93"/>
      <c r="O82" s="514" t="s">
        <v>209</v>
      </c>
      <c r="P82" s="93"/>
      <c r="Q82" s="374">
        <v>0.5</v>
      </c>
      <c r="R82" s="93"/>
      <c r="S82" s="419">
        <f>(1+CAPEX_Factor)*(1+Sensitivity_IS_Bill)*(Standard_Process_Effort*(1+PM_Overhead)*$Q82)*(1-$K$82)</f>
        <v>13.200000000000001</v>
      </c>
      <c r="T82" s="419">
        <f>(1+CAPEX_Factor)*(1+Sensitivity_IS_Bill)*(Standard_Process_Effort*(1+PM_Overhead)*$Q82)*(1-$K$82)</f>
        <v>13.200000000000001</v>
      </c>
      <c r="U82" s="419">
        <f>(1+CAPEX_Factor)*(1+Sensitivity_IS_Bill)*(Standard_Process_Effort*(1+PM_Overhead)*$Q82)*(1-$K$82)</f>
        <v>13.200000000000001</v>
      </c>
      <c r="V82" s="419">
        <f>(1+CAPEX_Factor)*(1+Sensitivity_IS_Bill)*(Standard_Process_Effort*(1+PM_Overhead)*$Q82)*(1-$K$82)</f>
        <v>13.200000000000001</v>
      </c>
      <c r="W82" s="419">
        <f>(1+CAPEX_Factor)*(1+Sensitivity_IS_Bill)*0</f>
        <v>0</v>
      </c>
      <c r="X82" s="419">
        <f>(1+CAPEX_Factor)*(1+Sensitivity_IS_Bill)*0</f>
        <v>0</v>
      </c>
      <c r="Y82" s="419">
        <f>(1+CAPEX_Factor)*(1+Sensitivity_IS_Bill)*(Standard_Process_Effort*(1+PM_Overhead)*$Q82)*(1-$K$82)*TierC_TierB_ratio</f>
        <v>6.6000000000000005</v>
      </c>
      <c r="Z82" s="419">
        <f>(1+CAPEX_Factor)*(1+Sensitivity_IS_Bill)*0</f>
        <v>0</v>
      </c>
      <c r="AA82" s="419">
        <f>Y82</f>
        <v>6.6000000000000005</v>
      </c>
      <c r="AB82" s="93"/>
      <c r="AC82" s="514" t="s">
        <v>209</v>
      </c>
      <c r="AD82" s="440"/>
      <c r="AE82" s="374">
        <v>0.5</v>
      </c>
      <c r="AF82" s="158"/>
      <c r="AG82" s="419">
        <f>(1+CAPEX_Factor)*(1+Sensitivity_IS_Bill)*(Standard_Process_Effort*(1+PM_Overhead)*$AE82)*(1-$K$82)</f>
        <v>13.200000000000001</v>
      </c>
      <c r="AH82" s="419">
        <f>(1+CAPEX_Factor)*(1+Sensitivity_IS_Bill)*(Standard_Process_Effort*(1+PM_Overhead)*$AE82)*(1-$K$82)</f>
        <v>13.200000000000001</v>
      </c>
      <c r="AI82" s="419">
        <f>(1+CAPEX_Factor)*(1+Sensitivity_IS_Bill)*(Standard_Process_Effort*(1+PM_Overhead)*$AE82)*(1-$K$82)</f>
        <v>13.200000000000001</v>
      </c>
      <c r="AJ82" s="419">
        <f>(1+CAPEX_Factor)*(1+Sensitivity_IS_Bill)*(Standard_Process_Effort*(1+PM_Overhead)*$AE82)*(1-$K$82)</f>
        <v>13.200000000000001</v>
      </c>
      <c r="AK82" s="419">
        <f>(1+CAPEX_Factor)*(1+Sensitivity_IS_Bill)*0</f>
        <v>0</v>
      </c>
      <c r="AL82" s="419">
        <f>(1+CAPEX_Factor)*(1+Sensitivity_IS_Bill)*0</f>
        <v>0</v>
      </c>
      <c r="AM82" s="419">
        <f>(1+CAPEX_Factor)*(1+Sensitivity_IS_Bill)*(Standard_Process_Effort*(1+PM_Overhead)*$AE82)*(1-$K$82)*TierC_TierB_ratio</f>
        <v>6.6000000000000005</v>
      </c>
      <c r="AN82" s="419">
        <f>(1+CAPEX_Factor)*(1+Sensitivity_IS_Bill)*0</f>
        <v>0</v>
      </c>
      <c r="AO82" s="419">
        <f>AM82</f>
        <v>6.6000000000000005</v>
      </c>
      <c r="AP82" s="264"/>
      <c r="AQ82" s="264"/>
      <c r="AR82" s="514" t="s">
        <v>209</v>
      </c>
      <c r="AS82" s="440"/>
      <c r="AT82" s="374">
        <v>0.5</v>
      </c>
      <c r="AU82" s="158"/>
      <c r="AV82" s="419">
        <f>(1+CAPEX_Factor)*(1+Sensitivity_IS_Bill)*(Standard_Process_Effort*(1+PM_Overhead)*$AT82)*(1-$K$82)</f>
        <v>13.200000000000001</v>
      </c>
      <c r="AW82" s="419">
        <f>(1+CAPEX_Factor)*(1+Sensitivity_IS_Bill)*(Standard_Process_Effort*(1+PM_Overhead)*$AT82)*(1-$K$82)</f>
        <v>13.200000000000001</v>
      </c>
      <c r="AX82" s="419">
        <f>(1+CAPEX_Factor)*(1+Sensitivity_IS_Bill)*(Standard_Process_Effort*(1+PM_Overhead)*$AT82)*(1-$K$82)</f>
        <v>13.200000000000001</v>
      </c>
      <c r="AY82" s="419">
        <f>(1+CAPEX_Factor)*(1+Sensitivity_IS_Bill)*(Standard_Process_Effort*(1+PM_Overhead)*$AT82)*(1-$K$82)</f>
        <v>13.200000000000001</v>
      </c>
      <c r="AZ82" s="419">
        <f>(1+CAPEX_Factor)*(1+Sensitivity_IS_Bill)*0</f>
        <v>0</v>
      </c>
      <c r="BA82" s="419">
        <f>(1+CAPEX_Factor)*(1+Sensitivity_IS_Bill)*0</f>
        <v>0</v>
      </c>
      <c r="BB82" s="419">
        <f>(1+CAPEX_Factor)*(1+Sensitivity_IS_Bill)*(Standard_Process_Effort*(1+PM_Overhead)*$AT82)*(1-$K$82)*TierC_TierB_ratio</f>
        <v>6.6000000000000005</v>
      </c>
      <c r="BC82" s="419">
        <f>(1+CAPEX_Factor)*(1+Sensitivity_IS_Bill)*0</f>
        <v>0</v>
      </c>
      <c r="BD82" s="419">
        <f>BB82</f>
        <v>6.6000000000000005</v>
      </c>
      <c r="BE82" s="264"/>
      <c r="BF82" s="514" t="s">
        <v>209</v>
      </c>
      <c r="BG82" s="440"/>
      <c r="BH82" s="374">
        <v>0.5</v>
      </c>
      <c r="BI82" s="158"/>
      <c r="BJ82" s="419">
        <f>(1+CAPEX_Factor)*(1+Sensitivity_IS_Bill)*(Standard_Process_Effort*(1+PM_Overhead)*$BH82)*(1-$K$82)</f>
        <v>13.200000000000001</v>
      </c>
      <c r="BK82" s="419">
        <f>(1+CAPEX_Factor)*(1+Sensitivity_IS_Bill)*(Standard_Process_Effort*(1+PM_Overhead)*$BH82)*(1-$K$82)</f>
        <v>13.200000000000001</v>
      </c>
      <c r="BL82" s="419">
        <f>(1+CAPEX_Factor)*(1+Sensitivity_IS_Bill)*(Standard_Process_Effort*(1+PM_Overhead)*$BH82)*(1-$K$82)</f>
        <v>13.200000000000001</v>
      </c>
      <c r="BM82" s="419">
        <f>(1+CAPEX_Factor)*(1+Sensitivity_IS_Bill)*(Standard_Process_Effort*(1+PM_Overhead)*$BH82)*(1-$K$82)</f>
        <v>13.200000000000001</v>
      </c>
      <c r="BN82" s="419">
        <f>(1+CAPEX_Factor)*(1+Sensitivity_IS_Bill)*0</f>
        <v>0</v>
      </c>
      <c r="BO82" s="419">
        <f>(1+CAPEX_Factor)*(1+Sensitivity_IS_Bill)*0</f>
        <v>0</v>
      </c>
      <c r="BP82" s="419">
        <f>(1+CAPEX_Factor)*(1+Sensitivity_IS_Bill)*(Standard_Process_Effort*(1+PM_Overhead)*$BH82)*(1-$K$82)*TierC_TierB_ratio</f>
        <v>6.6000000000000005</v>
      </c>
      <c r="BQ82" s="419">
        <f>(1+CAPEX_Factor)*(1+Sensitivity_IS_Bill)*0</f>
        <v>0</v>
      </c>
      <c r="BR82" s="419">
        <f>BP82</f>
        <v>6.6000000000000005</v>
      </c>
      <c r="BS82" s="263"/>
    </row>
    <row r="83" spans="1:71" ht="24" customHeight="1" outlineLevel="1" x14ac:dyDescent="0.2">
      <c r="A83" s="400"/>
      <c r="B83" s="509" t="s">
        <v>108</v>
      </c>
      <c r="C83" s="510" t="s">
        <v>160</v>
      </c>
      <c r="D83" s="515" t="s">
        <v>109</v>
      </c>
      <c r="E83" s="516" t="s">
        <v>175</v>
      </c>
      <c r="F83" s="414" t="s">
        <v>49</v>
      </c>
      <c r="G83" s="413" t="s">
        <v>47</v>
      </c>
      <c r="H83" s="511" t="s">
        <v>118</v>
      </c>
      <c r="I83" s="736"/>
      <c r="J83" s="411"/>
      <c r="K83" s="408" t="s">
        <v>58</v>
      </c>
      <c r="L83" s="513" t="s">
        <v>58</v>
      </c>
      <c r="M83" s="472"/>
      <c r="N83" s="93"/>
      <c r="O83" s="515"/>
      <c r="P83" s="93"/>
      <c r="Q83" s="93"/>
      <c r="R83" s="93"/>
      <c r="S83" s="374">
        <v>0.2</v>
      </c>
      <c r="T83" s="374">
        <v>0.2</v>
      </c>
      <c r="U83" s="374">
        <v>0.2</v>
      </c>
      <c r="V83" s="374">
        <v>0.2</v>
      </c>
      <c r="W83" s="374">
        <v>0.2</v>
      </c>
      <c r="X83" s="374">
        <v>0.2</v>
      </c>
      <c r="Y83" s="374">
        <v>0.2</v>
      </c>
      <c r="Z83" s="374">
        <v>0.2</v>
      </c>
      <c r="AA83" s="374">
        <v>0.2</v>
      </c>
      <c r="AB83" s="93"/>
      <c r="AC83" s="515"/>
      <c r="AD83" s="440"/>
      <c r="AE83" s="93"/>
      <c r="AF83" s="158"/>
      <c r="AG83" s="374">
        <v>0.2</v>
      </c>
      <c r="AH83" s="374">
        <v>0.2</v>
      </c>
      <c r="AI83" s="374">
        <v>0.2</v>
      </c>
      <c r="AJ83" s="374">
        <v>0.2</v>
      </c>
      <c r="AK83" s="374">
        <v>0.2</v>
      </c>
      <c r="AL83" s="374">
        <v>0.2</v>
      </c>
      <c r="AM83" s="374">
        <v>0.2</v>
      </c>
      <c r="AN83" s="374">
        <v>0.2</v>
      </c>
      <c r="AO83" s="374">
        <v>0.2</v>
      </c>
      <c r="AP83" s="264"/>
      <c r="AQ83" s="264"/>
      <c r="AR83" s="515"/>
      <c r="AS83" s="440"/>
      <c r="AT83" s="93"/>
      <c r="AU83" s="158"/>
      <c r="AV83" s="374">
        <v>0.2</v>
      </c>
      <c r="AW83" s="374">
        <v>0.2</v>
      </c>
      <c r="AX83" s="374">
        <v>0.2</v>
      </c>
      <c r="AY83" s="374">
        <v>0.2</v>
      </c>
      <c r="AZ83" s="374">
        <v>0.2</v>
      </c>
      <c r="BA83" s="374">
        <v>0.2</v>
      </c>
      <c r="BB83" s="374">
        <v>0.2</v>
      </c>
      <c r="BC83" s="374">
        <v>0.2</v>
      </c>
      <c r="BD83" s="374">
        <v>0.2</v>
      </c>
      <c r="BE83" s="264"/>
      <c r="BF83" s="515"/>
      <c r="BG83" s="440"/>
      <c r="BH83" s="93"/>
      <c r="BI83" s="158"/>
      <c r="BJ83" s="374">
        <v>0.2</v>
      </c>
      <c r="BK83" s="374">
        <v>0.2</v>
      </c>
      <c r="BL83" s="374">
        <v>0.2</v>
      </c>
      <c r="BM83" s="374">
        <v>0.2</v>
      </c>
      <c r="BN83" s="374">
        <v>0.2</v>
      </c>
      <c r="BO83" s="374">
        <v>0.2</v>
      </c>
      <c r="BP83" s="374">
        <v>0.2</v>
      </c>
      <c r="BQ83" s="374">
        <v>0.2</v>
      </c>
      <c r="BR83" s="374">
        <v>0.2</v>
      </c>
      <c r="BS83" s="263"/>
    </row>
    <row r="84" spans="1:71" ht="24" customHeight="1" outlineLevel="1" x14ac:dyDescent="0.2">
      <c r="A84" s="400"/>
      <c r="B84" s="509" t="s">
        <v>108</v>
      </c>
      <c r="C84" s="510" t="s">
        <v>160</v>
      </c>
      <c r="D84" s="515" t="s">
        <v>109</v>
      </c>
      <c r="E84" s="413" t="s">
        <v>175</v>
      </c>
      <c r="F84" s="414" t="s">
        <v>51</v>
      </c>
      <c r="G84" s="413" t="s">
        <v>50</v>
      </c>
      <c r="H84" s="511" t="s">
        <v>117</v>
      </c>
      <c r="I84" s="736"/>
      <c r="J84" s="407"/>
      <c r="K84" s="408">
        <f>Inputs_Estimates!$E$28</f>
        <v>0.2</v>
      </c>
      <c r="L84" s="513"/>
      <c r="M84" s="472" t="s">
        <v>486</v>
      </c>
      <c r="N84" s="93"/>
      <c r="O84" s="514" t="s">
        <v>215</v>
      </c>
      <c r="P84" s="93"/>
      <c r="Q84" s="374">
        <v>0.5</v>
      </c>
      <c r="R84" s="93"/>
      <c r="S84" s="419">
        <v>0</v>
      </c>
      <c r="T84" s="419">
        <v>0</v>
      </c>
      <c r="U84" s="419">
        <v>0</v>
      </c>
      <c r="V84" s="419">
        <v>0</v>
      </c>
      <c r="W84" s="419">
        <v>0</v>
      </c>
      <c r="X84" s="419">
        <v>0</v>
      </c>
      <c r="Y84" s="419">
        <v>0</v>
      </c>
      <c r="Z84" s="419">
        <v>0</v>
      </c>
      <c r="AA84" s="419">
        <v>0</v>
      </c>
      <c r="AB84" s="93"/>
      <c r="AC84" s="514" t="s">
        <v>215</v>
      </c>
      <c r="AD84" s="508"/>
      <c r="AE84" s="374">
        <v>0.5</v>
      </c>
      <c r="AF84" s="158"/>
      <c r="AG84" s="419">
        <v>0</v>
      </c>
      <c r="AH84" s="419">
        <v>0</v>
      </c>
      <c r="AI84" s="419">
        <v>0</v>
      </c>
      <c r="AJ84" s="419">
        <v>0</v>
      </c>
      <c r="AK84" s="419">
        <v>0</v>
      </c>
      <c r="AL84" s="419">
        <v>0</v>
      </c>
      <c r="AM84" s="419">
        <v>0</v>
      </c>
      <c r="AN84" s="419">
        <v>0</v>
      </c>
      <c r="AO84" s="419">
        <v>0</v>
      </c>
      <c r="AP84" s="264"/>
      <c r="AQ84" s="264"/>
      <c r="AR84" s="514" t="s">
        <v>215</v>
      </c>
      <c r="AS84" s="508"/>
      <c r="AT84" s="93"/>
      <c r="AU84" s="158"/>
      <c r="AV84" s="419">
        <v>0</v>
      </c>
      <c r="AW84" s="419">
        <v>0</v>
      </c>
      <c r="AX84" s="419">
        <v>0</v>
      </c>
      <c r="AY84" s="419">
        <v>0</v>
      </c>
      <c r="AZ84" s="419">
        <v>0</v>
      </c>
      <c r="BA84" s="419">
        <v>0</v>
      </c>
      <c r="BB84" s="419">
        <v>0</v>
      </c>
      <c r="BC84" s="419">
        <v>0</v>
      </c>
      <c r="BD84" s="419">
        <v>0</v>
      </c>
      <c r="BE84" s="264"/>
      <c r="BF84" s="514" t="s">
        <v>215</v>
      </c>
      <c r="BG84" s="508"/>
      <c r="BH84" s="374">
        <v>0.5</v>
      </c>
      <c r="BI84" s="158"/>
      <c r="BJ84" s="419">
        <v>0</v>
      </c>
      <c r="BK84" s="419">
        <v>0</v>
      </c>
      <c r="BL84" s="419">
        <v>0</v>
      </c>
      <c r="BM84" s="419">
        <v>0</v>
      </c>
      <c r="BN84" s="419">
        <v>0</v>
      </c>
      <c r="BO84" s="419">
        <v>0</v>
      </c>
      <c r="BP84" s="419">
        <v>0</v>
      </c>
      <c r="BQ84" s="419">
        <v>0</v>
      </c>
      <c r="BR84" s="419">
        <v>0</v>
      </c>
      <c r="BS84" s="263"/>
    </row>
    <row r="85" spans="1:71" ht="24" customHeight="1" outlineLevel="1" x14ac:dyDescent="0.2">
      <c r="A85" s="400"/>
      <c r="B85" s="509" t="s">
        <v>108</v>
      </c>
      <c r="C85" s="510" t="s">
        <v>160</v>
      </c>
      <c r="D85" s="515" t="s">
        <v>109</v>
      </c>
      <c r="E85" s="413" t="s">
        <v>175</v>
      </c>
      <c r="F85" s="414" t="s">
        <v>48</v>
      </c>
      <c r="G85" s="413" t="s">
        <v>50</v>
      </c>
      <c r="H85" s="511" t="s">
        <v>116</v>
      </c>
      <c r="I85" s="736"/>
      <c r="J85" s="417"/>
      <c r="K85" s="408" t="s">
        <v>58</v>
      </c>
      <c r="L85" s="513" t="s">
        <v>58</v>
      </c>
      <c r="M85" s="472"/>
      <c r="N85" s="93"/>
      <c r="O85" s="515" t="s">
        <v>218</v>
      </c>
      <c r="P85" s="93"/>
      <c r="Q85" s="93"/>
      <c r="R85" s="93"/>
      <c r="S85" s="419">
        <v>0</v>
      </c>
      <c r="T85" s="419">
        <v>0</v>
      </c>
      <c r="U85" s="419">
        <v>0</v>
      </c>
      <c r="V85" s="419">
        <v>0</v>
      </c>
      <c r="W85" s="419">
        <v>0</v>
      </c>
      <c r="X85" s="419">
        <v>0</v>
      </c>
      <c r="Y85" s="419">
        <v>0</v>
      </c>
      <c r="Z85" s="419">
        <v>0</v>
      </c>
      <c r="AA85" s="419">
        <v>0</v>
      </c>
      <c r="AB85" s="93"/>
      <c r="AC85" s="515" t="s">
        <v>218</v>
      </c>
      <c r="AD85" s="440"/>
      <c r="AE85" s="93"/>
      <c r="AF85" s="158"/>
      <c r="AG85" s="419">
        <v>0</v>
      </c>
      <c r="AH85" s="419">
        <v>0</v>
      </c>
      <c r="AI85" s="419">
        <v>0</v>
      </c>
      <c r="AJ85" s="419">
        <v>0</v>
      </c>
      <c r="AK85" s="419">
        <v>0</v>
      </c>
      <c r="AL85" s="419">
        <v>0</v>
      </c>
      <c r="AM85" s="419">
        <v>0</v>
      </c>
      <c r="AN85" s="419">
        <v>0</v>
      </c>
      <c r="AO85" s="419">
        <v>0</v>
      </c>
      <c r="AP85" s="264"/>
      <c r="AQ85" s="264"/>
      <c r="AR85" s="515" t="s">
        <v>218</v>
      </c>
      <c r="AS85" s="440"/>
      <c r="AT85" s="93"/>
      <c r="AU85" s="158"/>
      <c r="AV85" s="419">
        <v>0</v>
      </c>
      <c r="AW85" s="419">
        <v>0</v>
      </c>
      <c r="AX85" s="419">
        <v>0</v>
      </c>
      <c r="AY85" s="419">
        <v>0</v>
      </c>
      <c r="AZ85" s="419">
        <v>0</v>
      </c>
      <c r="BA85" s="419">
        <v>0</v>
      </c>
      <c r="BB85" s="419">
        <v>0</v>
      </c>
      <c r="BC85" s="419">
        <v>0</v>
      </c>
      <c r="BD85" s="419">
        <v>0</v>
      </c>
      <c r="BE85" s="264"/>
      <c r="BF85" s="515" t="s">
        <v>218</v>
      </c>
      <c r="BG85" s="440"/>
      <c r="BH85" s="93"/>
      <c r="BI85" s="158"/>
      <c r="BJ85" s="419">
        <v>0</v>
      </c>
      <c r="BK85" s="419">
        <v>0</v>
      </c>
      <c r="BL85" s="419">
        <v>0</v>
      </c>
      <c r="BM85" s="419">
        <v>0</v>
      </c>
      <c r="BN85" s="419">
        <v>0</v>
      </c>
      <c r="BO85" s="419">
        <v>0</v>
      </c>
      <c r="BP85" s="419">
        <v>0</v>
      </c>
      <c r="BQ85" s="419">
        <v>0</v>
      </c>
      <c r="BR85" s="419">
        <v>0</v>
      </c>
      <c r="BS85" s="263"/>
    </row>
    <row r="86" spans="1:71" ht="24" customHeight="1" outlineLevel="1" x14ac:dyDescent="0.2">
      <c r="A86" s="312"/>
      <c r="B86" s="437" t="s">
        <v>108</v>
      </c>
      <c r="C86" s="171" t="s">
        <v>160</v>
      </c>
      <c r="D86" s="432" t="s">
        <v>109</v>
      </c>
      <c r="E86" s="441" t="s">
        <v>166</v>
      </c>
      <c r="F86" s="433" t="s">
        <v>51</v>
      </c>
      <c r="G86" s="426" t="s">
        <v>50</v>
      </c>
      <c r="H86" s="517" t="s">
        <v>214</v>
      </c>
      <c r="I86" s="737" t="s">
        <v>240</v>
      </c>
      <c r="J86" s="407"/>
      <c r="K86" s="408">
        <f>Inputs_Estimates!$E$28</f>
        <v>0.2</v>
      </c>
      <c r="L86" s="513"/>
      <c r="M86" s="518" t="s">
        <v>486</v>
      </c>
      <c r="N86" s="264"/>
      <c r="O86" s="519"/>
      <c r="P86" s="264"/>
      <c r="Q86" s="374">
        <v>0.5</v>
      </c>
      <c r="R86" s="264"/>
      <c r="S86" s="419">
        <f>(1+CAPEX_Factor)*(1+Sensitivity_IS_Bill)*(Standard_Process_Effort*(1+PM_Overhead)*$Q86)*(1-$K$86)</f>
        <v>13.200000000000001</v>
      </c>
      <c r="T86" s="419">
        <f>(1+CAPEX_Factor)*(1+Sensitivity_IS_Bill)*(Standard_Process_Effort*(1+PM_Overhead)*$Q86)*(1-$K$86)</f>
        <v>13.200000000000001</v>
      </c>
      <c r="U86" s="419">
        <f>(1+CAPEX_Factor)*(1+Sensitivity_IS_Bill)*(Standard_Process_Effort*(1+PM_Overhead)*$Q86)*(1-$K$86)</f>
        <v>13.200000000000001</v>
      </c>
      <c r="V86" s="419">
        <f>(1+CAPEX_Factor)*(1+Sensitivity_IS_Bill)*(Standard_Process_Effort*(1+PM_Overhead)*$Q86)*(1-$K$86)</f>
        <v>13.200000000000001</v>
      </c>
      <c r="W86" s="419">
        <v>0</v>
      </c>
      <c r="X86" s="419">
        <v>0</v>
      </c>
      <c r="Y86" s="419">
        <f>(1+CAPEX_Factor)*(1+Sensitivity_IS_Bill)*(Standard_Process_Effort*(1+PM_Overhead)*$Q86)*(1-$K$86)*TierC_TierB_ratio</f>
        <v>6.6000000000000005</v>
      </c>
      <c r="Z86" s="419">
        <v>0</v>
      </c>
      <c r="AA86" s="419">
        <f>Y86</f>
        <v>6.6000000000000005</v>
      </c>
      <c r="AB86" s="264"/>
      <c r="AC86" s="519"/>
      <c r="AD86" s="440"/>
      <c r="AE86" s="374">
        <v>0.5</v>
      </c>
      <c r="AF86" s="264"/>
      <c r="AG86" s="419">
        <f>(1+CAPEX_Factor)*(1+Sensitivity_IS_Bill)*(Standard_Process_Effort*(1+PM_Overhead)*$AE86)*(1-$K$86)</f>
        <v>13.200000000000001</v>
      </c>
      <c r="AH86" s="419">
        <f>(1+CAPEX_Factor)*(1+Sensitivity_IS_Bill)*(Standard_Process_Effort*(1+PM_Overhead)*$AE86)*(1-$K$86)</f>
        <v>13.200000000000001</v>
      </c>
      <c r="AI86" s="419">
        <f>(1+CAPEX_Factor)*(1+Sensitivity_IS_Bill)*(Standard_Process_Effort*(1+PM_Overhead)*$AE86)*(1-$K$86)</f>
        <v>13.200000000000001</v>
      </c>
      <c r="AJ86" s="419">
        <f>(1+CAPEX_Factor)*(1+Sensitivity_IS_Bill)*(Standard_Process_Effort*(1+PM_Overhead)*$AE86)*(1-$K$86)</f>
        <v>13.200000000000001</v>
      </c>
      <c r="AK86" s="419">
        <v>0</v>
      </c>
      <c r="AL86" s="419">
        <v>0</v>
      </c>
      <c r="AM86" s="419">
        <f>(1+CAPEX_Factor)*(1+Sensitivity_IS_Bill)*(Standard_Process_Effort*(1+PM_Overhead)*$AE86)*(1-$K$86)*TierC_TierB_ratio</f>
        <v>6.6000000000000005</v>
      </c>
      <c r="AN86" s="419">
        <v>0</v>
      </c>
      <c r="AO86" s="419">
        <f>AM86</f>
        <v>6.6000000000000005</v>
      </c>
      <c r="AP86" s="264"/>
      <c r="AQ86" s="264"/>
      <c r="AR86" s="519"/>
      <c r="AS86" s="440"/>
      <c r="AT86" s="374">
        <v>0.5</v>
      </c>
      <c r="AU86" s="264"/>
      <c r="AV86" s="419">
        <f>(1+CAPEX_Factor)*(1+Sensitivity_IS_Bill)*(Standard_Process_Effort*(1+PM_Overhead)*$AT86)*(1-$K$86)</f>
        <v>13.200000000000001</v>
      </c>
      <c r="AW86" s="419">
        <f>(1+CAPEX_Factor)*(1+Sensitivity_IS_Bill)*(Standard_Process_Effort*(1+PM_Overhead)*$AT86)*(1-$K$86)</f>
        <v>13.200000000000001</v>
      </c>
      <c r="AX86" s="419">
        <f>(1+CAPEX_Factor)*(1+Sensitivity_IS_Bill)*(Standard_Process_Effort*(1+PM_Overhead)*$AT86)*(1-$K$86)</f>
        <v>13.200000000000001</v>
      </c>
      <c r="AY86" s="419">
        <f>(1+CAPEX_Factor)*(1+Sensitivity_IS_Bill)*(Standard_Process_Effort*(1+PM_Overhead)*$AT86)*(1-$K$86)</f>
        <v>13.200000000000001</v>
      </c>
      <c r="AZ86" s="419">
        <v>0</v>
      </c>
      <c r="BA86" s="419">
        <v>0</v>
      </c>
      <c r="BB86" s="419">
        <f>(1+CAPEX_Factor)*(1+Sensitivity_IS_Bill)*(Standard_Process_Effort*(1+PM_Overhead)*$AT86)*(1-$K$86)*TierC_TierB_ratio</f>
        <v>6.6000000000000005</v>
      </c>
      <c r="BC86" s="419">
        <v>0</v>
      </c>
      <c r="BD86" s="419">
        <f>BB86</f>
        <v>6.6000000000000005</v>
      </c>
      <c r="BE86" s="264"/>
      <c r="BF86" s="519"/>
      <c r="BG86" s="440"/>
      <c r="BH86" s="374">
        <v>0.5</v>
      </c>
      <c r="BI86" s="264"/>
      <c r="BJ86" s="419">
        <f>(1+CAPEX_Factor)*(1+Sensitivity_IS_Bill)*(Standard_Process_Effort*(1+PM_Overhead)*$BH86)*(1-$K$86)</f>
        <v>13.200000000000001</v>
      </c>
      <c r="BK86" s="419">
        <f>(1+CAPEX_Factor)*(1+Sensitivity_IS_Bill)*(Standard_Process_Effort*(1+PM_Overhead)*$BH86)*(1-$K$86)</f>
        <v>13.200000000000001</v>
      </c>
      <c r="BL86" s="419">
        <f>(1+CAPEX_Factor)*(1+Sensitivity_IS_Bill)*(Standard_Process_Effort*(1+PM_Overhead)*$BH86)*(1-$K$86)</f>
        <v>13.200000000000001</v>
      </c>
      <c r="BM86" s="419">
        <f>(1+CAPEX_Factor)*(1+Sensitivity_IS_Bill)*(Standard_Process_Effort*(1+PM_Overhead)*$BH86)*(1-$K$86)</f>
        <v>13.200000000000001</v>
      </c>
      <c r="BN86" s="419">
        <v>0</v>
      </c>
      <c r="BO86" s="419">
        <v>0</v>
      </c>
      <c r="BP86" s="419">
        <f>(1+CAPEX_Factor)*(1+Sensitivity_IS_Bill)*(Standard_Process_Effort*(1+PM_Overhead)*$BH86)*(1-$K$86)*TierC_TierB_ratio</f>
        <v>6.6000000000000005</v>
      </c>
      <c r="BQ86" s="419">
        <v>0</v>
      </c>
      <c r="BR86" s="419">
        <f>BP86</f>
        <v>6.6000000000000005</v>
      </c>
      <c r="BS86" s="263"/>
    </row>
    <row r="87" spans="1:71" ht="24" customHeight="1" outlineLevel="1" x14ac:dyDescent="0.2">
      <c r="A87" s="312"/>
      <c r="B87" s="437" t="s">
        <v>108</v>
      </c>
      <c r="C87" s="171" t="s">
        <v>160</v>
      </c>
      <c r="D87" s="432" t="s">
        <v>109</v>
      </c>
      <c r="E87" s="441" t="s">
        <v>166</v>
      </c>
      <c r="F87" s="433" t="s">
        <v>49</v>
      </c>
      <c r="G87" s="426" t="s">
        <v>50</v>
      </c>
      <c r="H87" s="517" t="s">
        <v>118</v>
      </c>
      <c r="I87" s="737"/>
      <c r="J87" s="407"/>
      <c r="K87" s="408" t="s">
        <v>58</v>
      </c>
      <c r="L87" s="513" t="s">
        <v>58</v>
      </c>
      <c r="M87" s="518"/>
      <c r="N87" s="264"/>
      <c r="O87" s="432"/>
      <c r="P87" s="264"/>
      <c r="Q87" s="264"/>
      <c r="R87" s="264"/>
      <c r="S87" s="374">
        <v>0.2</v>
      </c>
      <c r="T87" s="374">
        <v>0.2</v>
      </c>
      <c r="U87" s="374">
        <v>0.2</v>
      </c>
      <c r="V87" s="374">
        <v>0.2</v>
      </c>
      <c r="W87" s="374">
        <v>0.2</v>
      </c>
      <c r="X87" s="374">
        <v>0.2</v>
      </c>
      <c r="Y87" s="374">
        <v>0.2</v>
      </c>
      <c r="Z87" s="374">
        <v>0.2</v>
      </c>
      <c r="AA87" s="374">
        <v>0.2</v>
      </c>
      <c r="AB87" s="264"/>
      <c r="AC87" s="432"/>
      <c r="AD87" s="440"/>
      <c r="AE87" s="264"/>
      <c r="AF87" s="264"/>
      <c r="AG87" s="374">
        <v>0.2</v>
      </c>
      <c r="AH87" s="374">
        <v>0.2</v>
      </c>
      <c r="AI87" s="374">
        <v>0.2</v>
      </c>
      <c r="AJ87" s="374">
        <v>0.2</v>
      </c>
      <c r="AK87" s="374">
        <v>0.2</v>
      </c>
      <c r="AL87" s="374">
        <v>0.2</v>
      </c>
      <c r="AM87" s="374">
        <v>0.2</v>
      </c>
      <c r="AN87" s="374">
        <v>0.2</v>
      </c>
      <c r="AO87" s="374">
        <v>0.2</v>
      </c>
      <c r="AP87" s="264"/>
      <c r="AQ87" s="264"/>
      <c r="AR87" s="432"/>
      <c r="AS87" s="440"/>
      <c r="AT87" s="264"/>
      <c r="AU87" s="264"/>
      <c r="AV87" s="374">
        <v>0.2</v>
      </c>
      <c r="AW87" s="374">
        <v>0.2</v>
      </c>
      <c r="AX87" s="374">
        <v>0.2</v>
      </c>
      <c r="AY87" s="374">
        <v>0.2</v>
      </c>
      <c r="AZ87" s="374">
        <v>0.2</v>
      </c>
      <c r="BA87" s="374">
        <v>0.2</v>
      </c>
      <c r="BB87" s="374">
        <v>0.2</v>
      </c>
      <c r="BC87" s="374">
        <v>0.2</v>
      </c>
      <c r="BD87" s="374">
        <v>0.2</v>
      </c>
      <c r="BE87" s="264"/>
      <c r="BF87" s="432"/>
      <c r="BG87" s="440"/>
      <c r="BH87" s="264"/>
      <c r="BI87" s="264"/>
      <c r="BJ87" s="374">
        <v>0.2</v>
      </c>
      <c r="BK87" s="374">
        <v>0.2</v>
      </c>
      <c r="BL87" s="374">
        <v>0.2</v>
      </c>
      <c r="BM87" s="374">
        <v>0.2</v>
      </c>
      <c r="BN87" s="374">
        <v>0.2</v>
      </c>
      <c r="BO87" s="374">
        <v>0.2</v>
      </c>
      <c r="BP87" s="374">
        <v>0.2</v>
      </c>
      <c r="BQ87" s="374">
        <v>0.2</v>
      </c>
      <c r="BR87" s="374">
        <v>0.2</v>
      </c>
      <c r="BS87" s="263"/>
    </row>
    <row r="88" spans="1:71" ht="24" customHeight="1" outlineLevel="1" x14ac:dyDescent="0.2">
      <c r="A88" s="312"/>
      <c r="B88" s="437" t="s">
        <v>108</v>
      </c>
      <c r="C88" s="171" t="s">
        <v>160</v>
      </c>
      <c r="D88" s="432" t="s">
        <v>109</v>
      </c>
      <c r="E88" s="441" t="s">
        <v>166</v>
      </c>
      <c r="F88" s="433" t="s">
        <v>51</v>
      </c>
      <c r="G88" s="426" t="s">
        <v>50</v>
      </c>
      <c r="H88" s="517" t="s">
        <v>117</v>
      </c>
      <c r="I88" s="737"/>
      <c r="J88" s="407"/>
      <c r="K88" s="408">
        <f>Inputs_Estimates!$E$28</f>
        <v>0.2</v>
      </c>
      <c r="L88" s="513"/>
      <c r="M88" s="518" t="s">
        <v>486</v>
      </c>
      <c r="N88" s="264"/>
      <c r="O88" s="519" t="s">
        <v>215</v>
      </c>
      <c r="P88" s="264"/>
      <c r="Q88" s="374">
        <v>0.5</v>
      </c>
      <c r="R88" s="264"/>
      <c r="S88" s="419">
        <v>0</v>
      </c>
      <c r="T88" s="419">
        <v>0</v>
      </c>
      <c r="U88" s="419">
        <v>0</v>
      </c>
      <c r="V88" s="419">
        <v>0</v>
      </c>
      <c r="W88" s="419">
        <v>0</v>
      </c>
      <c r="X88" s="419">
        <v>0</v>
      </c>
      <c r="Y88" s="419">
        <v>0</v>
      </c>
      <c r="Z88" s="419">
        <v>0</v>
      </c>
      <c r="AA88" s="419">
        <v>0</v>
      </c>
      <c r="AB88" s="264"/>
      <c r="AC88" s="519" t="s">
        <v>215</v>
      </c>
      <c r="AD88" s="440"/>
      <c r="AE88" s="374">
        <v>0.5</v>
      </c>
      <c r="AF88" s="264"/>
      <c r="AG88" s="419">
        <v>0</v>
      </c>
      <c r="AH88" s="419">
        <v>0</v>
      </c>
      <c r="AI88" s="419">
        <v>0</v>
      </c>
      <c r="AJ88" s="419">
        <v>0</v>
      </c>
      <c r="AK88" s="419">
        <v>0</v>
      </c>
      <c r="AL88" s="419">
        <v>0</v>
      </c>
      <c r="AM88" s="419">
        <v>0</v>
      </c>
      <c r="AN88" s="419">
        <v>0</v>
      </c>
      <c r="AO88" s="419">
        <v>0</v>
      </c>
      <c r="AP88" s="264"/>
      <c r="AQ88" s="264"/>
      <c r="AR88" s="519" t="s">
        <v>215</v>
      </c>
      <c r="AS88" s="440"/>
      <c r="AT88" s="264"/>
      <c r="AU88" s="264"/>
      <c r="AV88" s="419">
        <v>0</v>
      </c>
      <c r="AW88" s="419">
        <v>0</v>
      </c>
      <c r="AX88" s="419">
        <v>0</v>
      </c>
      <c r="AY88" s="419">
        <v>0</v>
      </c>
      <c r="AZ88" s="419">
        <v>0</v>
      </c>
      <c r="BA88" s="419">
        <v>0</v>
      </c>
      <c r="BB88" s="419">
        <v>0</v>
      </c>
      <c r="BC88" s="419">
        <v>0</v>
      </c>
      <c r="BD88" s="419">
        <v>0</v>
      </c>
      <c r="BE88" s="264"/>
      <c r="BF88" s="519" t="s">
        <v>215</v>
      </c>
      <c r="BG88" s="440"/>
      <c r="BH88" s="374">
        <v>0.5</v>
      </c>
      <c r="BI88" s="264"/>
      <c r="BJ88" s="419">
        <v>0</v>
      </c>
      <c r="BK88" s="419">
        <v>0</v>
      </c>
      <c r="BL88" s="419">
        <v>0</v>
      </c>
      <c r="BM88" s="419">
        <v>0</v>
      </c>
      <c r="BN88" s="419">
        <v>0</v>
      </c>
      <c r="BO88" s="419">
        <v>0</v>
      </c>
      <c r="BP88" s="419">
        <v>0</v>
      </c>
      <c r="BQ88" s="419">
        <v>0</v>
      </c>
      <c r="BR88" s="419">
        <v>0</v>
      </c>
      <c r="BS88" s="263"/>
    </row>
    <row r="89" spans="1:71" ht="24" customHeight="1" outlineLevel="1" x14ac:dyDescent="0.2">
      <c r="A89" s="312"/>
      <c r="B89" s="437" t="s">
        <v>108</v>
      </c>
      <c r="C89" s="171" t="s">
        <v>160</v>
      </c>
      <c r="D89" s="432" t="s">
        <v>109</v>
      </c>
      <c r="E89" s="441" t="s">
        <v>166</v>
      </c>
      <c r="F89" s="433" t="s">
        <v>48</v>
      </c>
      <c r="G89" s="426" t="s">
        <v>47</v>
      </c>
      <c r="H89" s="517" t="s">
        <v>167</v>
      </c>
      <c r="I89" s="737"/>
      <c r="J89" s="407"/>
      <c r="K89" s="408" t="s">
        <v>58</v>
      </c>
      <c r="L89" s="513" t="s">
        <v>58</v>
      </c>
      <c r="M89" s="518"/>
      <c r="N89" s="264"/>
      <c r="O89" s="432" t="s">
        <v>218</v>
      </c>
      <c r="P89" s="264"/>
      <c r="Q89" s="264"/>
      <c r="R89" s="264"/>
      <c r="S89" s="419">
        <v>0</v>
      </c>
      <c r="T89" s="419">
        <v>0</v>
      </c>
      <c r="U89" s="419">
        <v>0</v>
      </c>
      <c r="V89" s="419">
        <v>0</v>
      </c>
      <c r="W89" s="419">
        <v>0</v>
      </c>
      <c r="X89" s="419">
        <v>0</v>
      </c>
      <c r="Y89" s="419">
        <v>0</v>
      </c>
      <c r="Z89" s="419">
        <v>0</v>
      </c>
      <c r="AA89" s="419">
        <v>0</v>
      </c>
      <c r="AB89" s="264"/>
      <c r="AC89" s="432" t="s">
        <v>218</v>
      </c>
      <c r="AD89" s="440"/>
      <c r="AE89" s="264"/>
      <c r="AF89" s="264"/>
      <c r="AG89" s="419">
        <v>0</v>
      </c>
      <c r="AH89" s="419">
        <v>0</v>
      </c>
      <c r="AI89" s="419">
        <v>0</v>
      </c>
      <c r="AJ89" s="419">
        <v>0</v>
      </c>
      <c r="AK89" s="419">
        <v>0</v>
      </c>
      <c r="AL89" s="419">
        <v>0</v>
      </c>
      <c r="AM89" s="419">
        <v>0</v>
      </c>
      <c r="AN89" s="419">
        <v>0</v>
      </c>
      <c r="AO89" s="419">
        <v>0</v>
      </c>
      <c r="AP89" s="264"/>
      <c r="AQ89" s="264"/>
      <c r="AR89" s="432" t="s">
        <v>218</v>
      </c>
      <c r="AS89" s="440"/>
      <c r="AT89" s="264"/>
      <c r="AU89" s="264"/>
      <c r="AV89" s="419">
        <v>0</v>
      </c>
      <c r="AW89" s="419">
        <v>0</v>
      </c>
      <c r="AX89" s="419">
        <v>0</v>
      </c>
      <c r="AY89" s="419">
        <v>0</v>
      </c>
      <c r="AZ89" s="419">
        <v>0</v>
      </c>
      <c r="BA89" s="419">
        <v>0</v>
      </c>
      <c r="BB89" s="419">
        <v>0</v>
      </c>
      <c r="BC89" s="419">
        <v>0</v>
      </c>
      <c r="BD89" s="419">
        <v>0</v>
      </c>
      <c r="BE89" s="264"/>
      <c r="BF89" s="432" t="s">
        <v>218</v>
      </c>
      <c r="BG89" s="440"/>
      <c r="BH89" s="264"/>
      <c r="BI89" s="264"/>
      <c r="BJ89" s="419">
        <v>0</v>
      </c>
      <c r="BK89" s="419">
        <v>0</v>
      </c>
      <c r="BL89" s="419">
        <v>0</v>
      </c>
      <c r="BM89" s="419">
        <v>0</v>
      </c>
      <c r="BN89" s="419">
        <v>0</v>
      </c>
      <c r="BO89" s="419">
        <v>0</v>
      </c>
      <c r="BP89" s="419">
        <v>0</v>
      </c>
      <c r="BQ89" s="419">
        <v>0</v>
      </c>
      <c r="BR89" s="419">
        <v>0</v>
      </c>
      <c r="BS89" s="263"/>
    </row>
    <row r="90" spans="1:71" s="139" customFormat="1" ht="24" customHeight="1" outlineLevel="1" x14ac:dyDescent="0.2">
      <c r="A90" s="520"/>
      <c r="B90" s="521"/>
      <c r="C90" s="522"/>
      <c r="D90" s="523"/>
      <c r="E90" s="524"/>
      <c r="F90" s="440"/>
      <c r="G90" s="525"/>
      <c r="H90" s="484" t="s">
        <v>205</v>
      </c>
      <c r="I90" s="523"/>
      <c r="J90" s="407"/>
      <c r="K90" s="440"/>
      <c r="L90" s="440"/>
      <c r="M90" s="440"/>
      <c r="N90" s="265"/>
      <c r="O90" s="265"/>
      <c r="P90" s="265"/>
      <c r="Q90" s="223">
        <f>SUMIF($H$82:$H$89,$H$82,Q$82:Q$89)</f>
        <v>1</v>
      </c>
      <c r="R90" s="440"/>
      <c r="S90" s="526">
        <f>SUMIF($H$82:$H$89,$H$82,S$82:S$89)</f>
        <v>26.400000000000002</v>
      </c>
      <c r="T90" s="526">
        <f t="shared" ref="T90:AA90" si="124">SUMIF($H$82:$H$89,$H$82,T$82:T$89)</f>
        <v>26.400000000000002</v>
      </c>
      <c r="U90" s="526">
        <f t="shared" si="124"/>
        <v>26.400000000000002</v>
      </c>
      <c r="V90" s="526">
        <f t="shared" si="124"/>
        <v>26.400000000000002</v>
      </c>
      <c r="W90" s="526">
        <f t="shared" si="124"/>
        <v>0</v>
      </c>
      <c r="X90" s="526">
        <f t="shared" si="124"/>
        <v>0</v>
      </c>
      <c r="Y90" s="526">
        <f t="shared" si="124"/>
        <v>13.200000000000001</v>
      </c>
      <c r="Z90" s="526">
        <f t="shared" si="124"/>
        <v>0</v>
      </c>
      <c r="AA90" s="526">
        <f t="shared" si="124"/>
        <v>13.200000000000001</v>
      </c>
      <c r="AB90" s="265"/>
      <c r="AC90" s="265"/>
      <c r="AD90" s="440"/>
      <c r="AE90" s="223">
        <f>SUMIF($H$82:$H$89,$H$82,AE$82:AE$89)</f>
        <v>1</v>
      </c>
      <c r="AF90" s="440"/>
      <c r="AG90" s="526">
        <f>SUMIF($H$82:$H$89,$H$82,AG$82:AG$89)</f>
        <v>26.400000000000002</v>
      </c>
      <c r="AH90" s="526">
        <f t="shared" ref="AH90:AO90" si="125">SUMIF($H$82:$H$89,$H$82,AH$82:AH$89)</f>
        <v>26.400000000000002</v>
      </c>
      <c r="AI90" s="526">
        <f t="shared" si="125"/>
        <v>26.400000000000002</v>
      </c>
      <c r="AJ90" s="526">
        <f t="shared" si="125"/>
        <v>26.400000000000002</v>
      </c>
      <c r="AK90" s="526">
        <f t="shared" si="125"/>
        <v>0</v>
      </c>
      <c r="AL90" s="526">
        <f t="shared" si="125"/>
        <v>0</v>
      </c>
      <c r="AM90" s="526">
        <f t="shared" si="125"/>
        <v>13.200000000000001</v>
      </c>
      <c r="AN90" s="526">
        <f t="shared" si="125"/>
        <v>0</v>
      </c>
      <c r="AO90" s="526">
        <f t="shared" si="125"/>
        <v>13.200000000000001</v>
      </c>
      <c r="AP90" s="265"/>
      <c r="AQ90" s="265"/>
      <c r="AR90" s="265"/>
      <c r="AS90" s="440"/>
      <c r="AT90" s="223">
        <f>SUMIF($H$82:$H$89,$H$82,AT$82:AT$89)</f>
        <v>1</v>
      </c>
      <c r="AU90" s="440"/>
      <c r="AV90" s="526">
        <f>SUMIF($H$82:$H$89,$H$82,AV$82:AV$89)</f>
        <v>26.400000000000002</v>
      </c>
      <c r="AW90" s="526">
        <f t="shared" ref="AW90:BD90" si="126">SUMIF($H$82:$H$89,$H$82,AW$82:AW$89)</f>
        <v>26.400000000000002</v>
      </c>
      <c r="AX90" s="526">
        <f t="shared" si="126"/>
        <v>26.400000000000002</v>
      </c>
      <c r="AY90" s="526">
        <f t="shared" si="126"/>
        <v>26.400000000000002</v>
      </c>
      <c r="AZ90" s="526">
        <f t="shared" si="126"/>
        <v>0</v>
      </c>
      <c r="BA90" s="526">
        <f t="shared" si="126"/>
        <v>0</v>
      </c>
      <c r="BB90" s="526">
        <f t="shared" si="126"/>
        <v>13.200000000000001</v>
      </c>
      <c r="BC90" s="526">
        <f t="shared" si="126"/>
        <v>0</v>
      </c>
      <c r="BD90" s="526">
        <f t="shared" si="126"/>
        <v>13.200000000000001</v>
      </c>
      <c r="BE90" s="265"/>
      <c r="BF90" s="265"/>
      <c r="BG90" s="440"/>
      <c r="BH90" s="223">
        <f>SUMIF($H$82:$H$89,$H$82,BH$82:BH$89)</f>
        <v>1</v>
      </c>
      <c r="BI90" s="440"/>
      <c r="BJ90" s="526">
        <f>SUMIF($H$82:$H$89,$H$82,BJ$82:BJ$89)</f>
        <v>26.400000000000002</v>
      </c>
      <c r="BK90" s="526">
        <f t="shared" ref="BK90:BR90" si="127">SUMIF($H$82:$H$89,$H$82,BK$82:BK$89)</f>
        <v>26.400000000000002</v>
      </c>
      <c r="BL90" s="526">
        <f t="shared" si="127"/>
        <v>26.400000000000002</v>
      </c>
      <c r="BM90" s="526">
        <f t="shared" si="127"/>
        <v>26.400000000000002</v>
      </c>
      <c r="BN90" s="526">
        <f t="shared" si="127"/>
        <v>0</v>
      </c>
      <c r="BO90" s="526">
        <f t="shared" si="127"/>
        <v>0</v>
      </c>
      <c r="BP90" s="526">
        <f t="shared" si="127"/>
        <v>13.200000000000001</v>
      </c>
      <c r="BQ90" s="526">
        <f t="shared" si="127"/>
        <v>0</v>
      </c>
      <c r="BR90" s="526">
        <f t="shared" si="127"/>
        <v>13.200000000000001</v>
      </c>
      <c r="BS90" s="265"/>
    </row>
    <row r="91" spans="1:71" s="139" customFormat="1" ht="24" customHeight="1" outlineLevel="1" x14ac:dyDescent="0.2">
      <c r="A91" s="520"/>
      <c r="B91" s="521"/>
      <c r="C91" s="522"/>
      <c r="D91" s="523"/>
      <c r="E91" s="524"/>
      <c r="F91" s="440"/>
      <c r="G91" s="525"/>
      <c r="H91" s="484" t="s">
        <v>216</v>
      </c>
      <c r="I91" s="523"/>
      <c r="J91" s="407"/>
      <c r="K91" s="440"/>
      <c r="L91" s="440"/>
      <c r="M91" s="440"/>
      <c r="N91" s="265"/>
      <c r="O91" s="265"/>
      <c r="P91" s="265"/>
      <c r="Q91" s="223">
        <f>SUMIF($H$82:$H$89,$H$84,Q$82:Q$89)</f>
        <v>1</v>
      </c>
      <c r="R91" s="508"/>
      <c r="S91" s="526">
        <f>SUMIF($H$82:$H$89,$H$84,S$82:S$89)</f>
        <v>0</v>
      </c>
      <c r="T91" s="526">
        <f t="shared" ref="T91:AA91" si="128">SUMIF($H$82:$H$89,$H$84,T$82:T$89)</f>
        <v>0</v>
      </c>
      <c r="U91" s="526">
        <f t="shared" si="128"/>
        <v>0</v>
      </c>
      <c r="V91" s="526">
        <f t="shared" si="128"/>
        <v>0</v>
      </c>
      <c r="W91" s="526">
        <f t="shared" si="128"/>
        <v>0</v>
      </c>
      <c r="X91" s="526">
        <f t="shared" si="128"/>
        <v>0</v>
      </c>
      <c r="Y91" s="526">
        <f t="shared" si="128"/>
        <v>0</v>
      </c>
      <c r="Z91" s="526">
        <f t="shared" si="128"/>
        <v>0</v>
      </c>
      <c r="AA91" s="526">
        <f t="shared" si="128"/>
        <v>0</v>
      </c>
      <c r="AB91" s="265"/>
      <c r="AC91" s="265"/>
      <c r="AD91" s="440"/>
      <c r="AE91" s="223">
        <f>SUMIF($H$82:$H$89,$H$84,AE$82:AE$89)</f>
        <v>1</v>
      </c>
      <c r="AF91" s="508"/>
      <c r="AG91" s="526">
        <f>SUMIF($H$82:$H$89,$H$84,AG$82:AG$89)</f>
        <v>0</v>
      </c>
      <c r="AH91" s="526">
        <f t="shared" ref="AH91:AO91" si="129">SUMIF($H$82:$H$89,$H$84,AH$82:AH$89)</f>
        <v>0</v>
      </c>
      <c r="AI91" s="526">
        <f t="shared" si="129"/>
        <v>0</v>
      </c>
      <c r="AJ91" s="526">
        <f t="shared" si="129"/>
        <v>0</v>
      </c>
      <c r="AK91" s="526">
        <f t="shared" si="129"/>
        <v>0</v>
      </c>
      <c r="AL91" s="526">
        <f t="shared" si="129"/>
        <v>0</v>
      </c>
      <c r="AM91" s="526">
        <f t="shared" si="129"/>
        <v>0</v>
      </c>
      <c r="AN91" s="526">
        <f t="shared" si="129"/>
        <v>0</v>
      </c>
      <c r="AO91" s="526">
        <f t="shared" si="129"/>
        <v>0</v>
      </c>
      <c r="AP91" s="265"/>
      <c r="AQ91" s="265"/>
      <c r="AR91" s="265"/>
      <c r="AS91" s="440"/>
      <c r="AT91" s="223">
        <f>SUMIF($H$82:$H$89,$H$84,AT$82:AT$89)</f>
        <v>0</v>
      </c>
      <c r="AU91" s="508"/>
      <c r="AV91" s="526">
        <f>SUMIF($H$82:$H$89,$H$84,AV$82:AV$89)</f>
        <v>0</v>
      </c>
      <c r="AW91" s="526">
        <f t="shared" ref="AW91:BD91" si="130">SUMIF($H$82:$H$89,$H$84,AW$82:AW$89)</f>
        <v>0</v>
      </c>
      <c r="AX91" s="526">
        <f t="shared" si="130"/>
        <v>0</v>
      </c>
      <c r="AY91" s="526">
        <f t="shared" si="130"/>
        <v>0</v>
      </c>
      <c r="AZ91" s="526">
        <f t="shared" si="130"/>
        <v>0</v>
      </c>
      <c r="BA91" s="526">
        <f t="shared" si="130"/>
        <v>0</v>
      </c>
      <c r="BB91" s="526">
        <f t="shared" si="130"/>
        <v>0</v>
      </c>
      <c r="BC91" s="526">
        <f t="shared" si="130"/>
        <v>0</v>
      </c>
      <c r="BD91" s="526">
        <f t="shared" si="130"/>
        <v>0</v>
      </c>
      <c r="BE91" s="265"/>
      <c r="BF91" s="265"/>
      <c r="BG91" s="440"/>
      <c r="BH91" s="223">
        <f>SUMIF($H$82:$H$89,$H$84,BH$82:BH$89)</f>
        <v>1</v>
      </c>
      <c r="BI91" s="508"/>
      <c r="BJ91" s="526">
        <f>SUMIF($H$82:$H$89,$H$84,BJ$82:BJ$89)</f>
        <v>0</v>
      </c>
      <c r="BK91" s="526">
        <f t="shared" ref="BK91:BR91" si="131">SUMIF($H$82:$H$89,$H$84,BK$82:BK$89)</f>
        <v>0</v>
      </c>
      <c r="BL91" s="526">
        <f t="shared" si="131"/>
        <v>0</v>
      </c>
      <c r="BM91" s="526">
        <f t="shared" si="131"/>
        <v>0</v>
      </c>
      <c r="BN91" s="526">
        <f t="shared" si="131"/>
        <v>0</v>
      </c>
      <c r="BO91" s="526">
        <f t="shared" si="131"/>
        <v>0</v>
      </c>
      <c r="BP91" s="526">
        <f t="shared" si="131"/>
        <v>0</v>
      </c>
      <c r="BQ91" s="526">
        <f t="shared" si="131"/>
        <v>0</v>
      </c>
      <c r="BR91" s="526">
        <f t="shared" si="131"/>
        <v>0</v>
      </c>
      <c r="BS91" s="265"/>
    </row>
    <row r="92" spans="1:71" s="139" customFormat="1" ht="24" customHeight="1" outlineLevel="1" x14ac:dyDescent="0.2">
      <c r="A92" s="520"/>
      <c r="B92" s="521"/>
      <c r="C92" s="522"/>
      <c r="D92" s="523"/>
      <c r="E92" s="524"/>
      <c r="F92" s="440"/>
      <c r="G92" s="525"/>
      <c r="H92" s="523"/>
      <c r="I92" s="523"/>
      <c r="J92" s="407"/>
      <c r="K92" s="440"/>
      <c r="L92" s="440"/>
      <c r="M92" s="440"/>
      <c r="N92" s="265"/>
      <c r="O92" s="484"/>
      <c r="P92" s="265"/>
      <c r="Q92" s="265"/>
      <c r="R92" s="265"/>
      <c r="S92" s="527"/>
      <c r="T92" s="527"/>
      <c r="U92" s="527"/>
      <c r="V92" s="527"/>
      <c r="W92" s="527"/>
      <c r="X92" s="527"/>
      <c r="Y92" s="527"/>
      <c r="Z92" s="527"/>
      <c r="AA92" s="527"/>
      <c r="AB92" s="265"/>
      <c r="AC92" s="484"/>
      <c r="AD92" s="440"/>
      <c r="AE92" s="265"/>
      <c r="AF92" s="265"/>
      <c r="AG92" s="527"/>
      <c r="AH92" s="527"/>
      <c r="AI92" s="527"/>
      <c r="AJ92" s="527"/>
      <c r="AK92" s="527"/>
      <c r="AL92" s="527"/>
      <c r="AM92" s="527"/>
      <c r="AN92" s="527"/>
      <c r="AO92" s="527"/>
      <c r="AP92" s="265"/>
      <c r="AQ92" s="265"/>
      <c r="AR92" s="484"/>
      <c r="AS92" s="440"/>
      <c r="AT92" s="265"/>
      <c r="AU92" s="265"/>
      <c r="AV92" s="527"/>
      <c r="AW92" s="527"/>
      <c r="AX92" s="527"/>
      <c r="AY92" s="527"/>
      <c r="AZ92" s="527"/>
      <c r="BA92" s="527"/>
      <c r="BB92" s="527"/>
      <c r="BC92" s="527"/>
      <c r="BD92" s="527"/>
      <c r="BE92" s="265"/>
      <c r="BF92" s="484"/>
      <c r="BG92" s="440"/>
      <c r="BH92" s="265"/>
      <c r="BI92" s="265"/>
      <c r="BJ92" s="527"/>
      <c r="BK92" s="527"/>
      <c r="BL92" s="527"/>
      <c r="BM92" s="527"/>
      <c r="BN92" s="527"/>
      <c r="BO92" s="527"/>
      <c r="BP92" s="527"/>
      <c r="BQ92" s="527"/>
      <c r="BR92" s="527"/>
      <c r="BS92" s="265"/>
    </row>
    <row r="93" spans="1:71" ht="24" customHeight="1" outlineLevel="1" x14ac:dyDescent="0.2">
      <c r="A93" s="312"/>
      <c r="B93" s="437" t="s">
        <v>108</v>
      </c>
      <c r="C93" s="171" t="s">
        <v>160</v>
      </c>
      <c r="D93" s="528" t="s">
        <v>111</v>
      </c>
      <c r="E93" s="692" t="s">
        <v>112</v>
      </c>
      <c r="F93" s="457" t="s">
        <v>61</v>
      </c>
      <c r="G93" s="458" t="s">
        <v>50</v>
      </c>
      <c r="H93" s="459" t="s">
        <v>152</v>
      </c>
      <c r="I93" s="773" t="s">
        <v>249</v>
      </c>
      <c r="J93" s="453"/>
      <c r="K93" s="408">
        <f>Inputs_Estimates!$E$28</f>
        <v>0.2</v>
      </c>
      <c r="L93" s="513"/>
      <c r="M93" s="472" t="s">
        <v>486</v>
      </c>
      <c r="N93" s="264"/>
      <c r="O93" s="456" t="s">
        <v>219</v>
      </c>
      <c r="P93" s="264"/>
      <c r="Q93" s="374">
        <v>1</v>
      </c>
      <c r="R93" s="264"/>
      <c r="S93" s="419">
        <f>(1+CAPEX_Factor)*(1+Sensitivity_IS_Bill)*(FE_Complex_Sys_Effort*(1+PM_Overhead)*$Q93)*(1-$K$93)</f>
        <v>105.60000000000001</v>
      </c>
      <c r="T93" s="419">
        <f>(1+CAPEX_Factor)*(1+Sensitivity_IS_Bill)*(FE_Complex_Sys_Effort*(1+PM_Overhead)*$Q93)*(1-$K$93)</f>
        <v>105.60000000000001</v>
      </c>
      <c r="U93" s="419">
        <f>(1+CAPEX_Factor)*(1+Sensitivity_IS_Bill)*(FE_Complex_Sys_Effort*(1+PM_Overhead)*$Q93)*(1-$K$93)</f>
        <v>105.60000000000001</v>
      </c>
      <c r="V93" s="419">
        <f>(1+CAPEX_Factor)*(1+Sensitivity_IS_Bill)*(FE_Complex_Sys_Effort*(1+PM_Overhead)*$Q93)*(1-$K$93)</f>
        <v>105.60000000000001</v>
      </c>
      <c r="W93" s="419">
        <v>0</v>
      </c>
      <c r="X93" s="419">
        <v>0</v>
      </c>
      <c r="Y93" s="419">
        <f>(1+CAPEX_Factor)*(1+Sensitivity_IS_Bill)*(FE_Complex_Sys_Effort*(1+PM_Overhead)*$Q93)*(1-$K$93)*TierC_TierB_ratio</f>
        <v>52.800000000000004</v>
      </c>
      <c r="Z93" s="419">
        <v>0</v>
      </c>
      <c r="AA93" s="419">
        <f>Y93</f>
        <v>52.800000000000004</v>
      </c>
      <c r="AB93" s="264"/>
      <c r="AC93" s="456" t="s">
        <v>219</v>
      </c>
      <c r="AD93" s="488"/>
      <c r="AE93" s="374">
        <v>1</v>
      </c>
      <c r="AF93" s="263"/>
      <c r="AG93" s="419">
        <f>(1+CAPEX_Factor)*(1+Sensitivity_IS_Bill)*(FE_Complex_Sys_Effort*(1+PM_Overhead)*$AE93)*(1-$K$93)</f>
        <v>105.60000000000001</v>
      </c>
      <c r="AH93" s="419">
        <f>(1+CAPEX_Factor)*(1+Sensitivity_IS_Bill)*(FE_Complex_Sys_Effort*(1+PM_Overhead)*$AE93)*(1-$K$93)</f>
        <v>105.60000000000001</v>
      </c>
      <c r="AI93" s="419">
        <f>(1+CAPEX_Factor)*(1+Sensitivity_IS_Bill)*(FE_Complex_Sys_Effort*(1+PM_Overhead)*$AE93)*(1-$K$93)</f>
        <v>105.60000000000001</v>
      </c>
      <c r="AJ93" s="419">
        <f>(1+CAPEX_Factor)*(1+Sensitivity_IS_Bill)*(FE_Complex_Sys_Effort*(1+PM_Overhead)*$AE93)*(1-$K$93)</f>
        <v>105.60000000000001</v>
      </c>
      <c r="AK93" s="419">
        <v>0</v>
      </c>
      <c r="AL93" s="419">
        <v>0</v>
      </c>
      <c r="AM93" s="419">
        <f>(1+CAPEX_Factor)*(1+Sensitivity_IS_Bill)*(FE_Complex_Sys_Effort*(1+PM_Overhead)*$AE93)*(1-$K$93)*TierC_TierB_ratio</f>
        <v>52.800000000000004</v>
      </c>
      <c r="AN93" s="419">
        <v>0</v>
      </c>
      <c r="AO93" s="419">
        <f>AM93</f>
        <v>52.800000000000004</v>
      </c>
      <c r="AP93" s="264"/>
      <c r="AQ93" s="264"/>
      <c r="AR93" s="456" t="s">
        <v>219</v>
      </c>
      <c r="AS93" s="488"/>
      <c r="AT93" s="374">
        <v>1</v>
      </c>
      <c r="AU93" s="263"/>
      <c r="AV93" s="419">
        <f>(1+CAPEX_Factor)*(1+Sensitivity_IS_Bill)*(FE_Complex_Sys_Effort*(1+PM_Overhead)*$AT93)*(1-$K$93)</f>
        <v>105.60000000000001</v>
      </c>
      <c r="AW93" s="419">
        <f>(1+CAPEX_Factor)*(1+Sensitivity_IS_Bill)*(FE_Complex_Sys_Effort*(1+PM_Overhead)*$AT93)*(1-$K$93)</f>
        <v>105.60000000000001</v>
      </c>
      <c r="AX93" s="419">
        <f>(1+CAPEX_Factor)*(1+Sensitivity_IS_Bill)*(FE_Complex_Sys_Effort*(1+PM_Overhead)*$AT93)*(1-$K$93)</f>
        <v>105.60000000000001</v>
      </c>
      <c r="AY93" s="419">
        <f>(1+CAPEX_Factor)*(1+Sensitivity_IS_Bill)*(FE_Complex_Sys_Effort*(1+PM_Overhead)*$AT93)*(1-$K$93)</f>
        <v>105.60000000000001</v>
      </c>
      <c r="AZ93" s="419">
        <v>0</v>
      </c>
      <c r="BA93" s="419">
        <v>0</v>
      </c>
      <c r="BB93" s="419">
        <f>(1+CAPEX_Factor)*(1+Sensitivity_IS_Bill)*(FE_Complex_Sys_Effort*(1+PM_Overhead)*$AT93)*(1-$K$93)*TierC_TierB_ratio</f>
        <v>52.800000000000004</v>
      </c>
      <c r="BC93" s="419">
        <v>0</v>
      </c>
      <c r="BD93" s="419">
        <f>BB93</f>
        <v>52.800000000000004</v>
      </c>
      <c r="BE93" s="264"/>
      <c r="BF93" s="456" t="s">
        <v>219</v>
      </c>
      <c r="BG93" s="488"/>
      <c r="BH93" s="374">
        <v>1</v>
      </c>
      <c r="BI93" s="263"/>
      <c r="BJ93" s="419">
        <f>(1+CAPEX_Factor)*(1+Sensitivity_IS_Bill)*(FE_Complex_Sys_Effort*(1+PM_Overhead)*$BH93)*(1-$K$93)</f>
        <v>105.60000000000001</v>
      </c>
      <c r="BK93" s="419">
        <f>(1+CAPEX_Factor)*(1+Sensitivity_IS_Bill)*(FE_Complex_Sys_Effort*(1+PM_Overhead)*$BH93)*(1-$K$93)</f>
        <v>105.60000000000001</v>
      </c>
      <c r="BL93" s="419">
        <f>(1+CAPEX_Factor)*(1+Sensitivity_IS_Bill)*(FE_Complex_Sys_Effort*(1+PM_Overhead)*$BH93)*(1-$K$93)</f>
        <v>105.60000000000001</v>
      </c>
      <c r="BM93" s="419">
        <f>(1+CAPEX_Factor)*(1+Sensitivity_IS_Bill)*(FE_Complex_Sys_Effort*(1+PM_Overhead)*$BH93)*(1-$K$93)</f>
        <v>105.60000000000001</v>
      </c>
      <c r="BN93" s="419">
        <v>0</v>
      </c>
      <c r="BO93" s="419">
        <v>0</v>
      </c>
      <c r="BP93" s="419">
        <f>(1+CAPEX_Factor)*(1+Sensitivity_IS_Bill)*(FE_Complex_Sys_Effort*(1+PM_Overhead)*$BH93)*(1-$K$93)*TierC_TierB_ratio</f>
        <v>52.800000000000004</v>
      </c>
      <c r="BQ93" s="419">
        <v>0</v>
      </c>
      <c r="BR93" s="419">
        <f>BP93</f>
        <v>52.800000000000004</v>
      </c>
      <c r="BS93" s="263"/>
    </row>
    <row r="94" spans="1:71" ht="24" customHeight="1" outlineLevel="1" x14ac:dyDescent="0.2">
      <c r="A94" s="312"/>
      <c r="B94" s="437" t="s">
        <v>108</v>
      </c>
      <c r="C94" s="171" t="s">
        <v>160</v>
      </c>
      <c r="D94" s="528" t="s">
        <v>111</v>
      </c>
      <c r="E94" s="692" t="s">
        <v>112</v>
      </c>
      <c r="F94" s="457" t="s">
        <v>30</v>
      </c>
      <c r="G94" s="458" t="s">
        <v>50</v>
      </c>
      <c r="H94" s="459" t="s">
        <v>119</v>
      </c>
      <c r="I94" s="774"/>
      <c r="J94" s="453"/>
      <c r="K94" s="408">
        <v>0</v>
      </c>
      <c r="L94" s="513"/>
      <c r="M94" s="472" t="s">
        <v>234</v>
      </c>
      <c r="N94" s="264"/>
      <c r="O94" s="532"/>
      <c r="P94" s="264"/>
      <c r="Q94" s="374">
        <v>1</v>
      </c>
      <c r="R94" s="264"/>
      <c r="S94" s="419">
        <v>0</v>
      </c>
      <c r="T94" s="419">
        <v>0</v>
      </c>
      <c r="U94" s="419">
        <v>0</v>
      </c>
      <c r="V94" s="419">
        <v>0</v>
      </c>
      <c r="W94" s="419">
        <v>0</v>
      </c>
      <c r="X94" s="419">
        <v>0</v>
      </c>
      <c r="Y94" s="419">
        <v>0</v>
      </c>
      <c r="Z94" s="419">
        <v>0</v>
      </c>
      <c r="AA94" s="419">
        <v>0</v>
      </c>
      <c r="AB94" s="264"/>
      <c r="AC94" s="532"/>
      <c r="AD94" s="488"/>
      <c r="AE94" s="374">
        <v>1</v>
      </c>
      <c r="AF94" s="263"/>
      <c r="AG94" s="419">
        <v>0</v>
      </c>
      <c r="AH94" s="419">
        <v>0</v>
      </c>
      <c r="AI94" s="419">
        <v>0</v>
      </c>
      <c r="AJ94" s="419">
        <v>0</v>
      </c>
      <c r="AK94" s="419">
        <v>0</v>
      </c>
      <c r="AL94" s="419">
        <v>0</v>
      </c>
      <c r="AM94" s="419">
        <v>0</v>
      </c>
      <c r="AN94" s="419">
        <v>0</v>
      </c>
      <c r="AO94" s="419">
        <v>0</v>
      </c>
      <c r="AP94" s="264"/>
      <c r="AQ94" s="264"/>
      <c r="AR94" s="532"/>
      <c r="AS94" s="488"/>
      <c r="AT94" s="374">
        <v>1</v>
      </c>
      <c r="AU94" s="263"/>
      <c r="AV94" s="419">
        <v>0</v>
      </c>
      <c r="AW94" s="419">
        <v>0</v>
      </c>
      <c r="AX94" s="419">
        <v>0</v>
      </c>
      <c r="AY94" s="419">
        <v>0</v>
      </c>
      <c r="AZ94" s="419">
        <v>0</v>
      </c>
      <c r="BA94" s="419">
        <v>0</v>
      </c>
      <c r="BB94" s="419">
        <v>0</v>
      </c>
      <c r="BC94" s="419">
        <v>0</v>
      </c>
      <c r="BD94" s="419">
        <v>0</v>
      </c>
      <c r="BE94" s="264"/>
      <c r="BF94" s="532"/>
      <c r="BG94" s="488"/>
      <c r="BH94" s="374">
        <v>1</v>
      </c>
      <c r="BI94" s="263"/>
      <c r="BJ94" s="419">
        <v>0</v>
      </c>
      <c r="BK94" s="419">
        <v>0</v>
      </c>
      <c r="BL94" s="419">
        <v>0</v>
      </c>
      <c r="BM94" s="419">
        <v>0</v>
      </c>
      <c r="BN94" s="419">
        <v>0</v>
      </c>
      <c r="BO94" s="419">
        <v>0</v>
      </c>
      <c r="BP94" s="419">
        <v>0</v>
      </c>
      <c r="BQ94" s="419">
        <v>0</v>
      </c>
      <c r="BR94" s="419">
        <v>0</v>
      </c>
      <c r="BS94" s="263"/>
    </row>
    <row r="95" spans="1:71" ht="24" customHeight="1" outlineLevel="1" x14ac:dyDescent="0.2">
      <c r="A95" s="312"/>
      <c r="B95" s="437" t="s">
        <v>108</v>
      </c>
      <c r="C95" s="171" t="s">
        <v>160</v>
      </c>
      <c r="D95" s="528" t="s">
        <v>111</v>
      </c>
      <c r="E95" s="692" t="s">
        <v>112</v>
      </c>
      <c r="F95" s="457" t="s">
        <v>49</v>
      </c>
      <c r="G95" s="458" t="s">
        <v>47</v>
      </c>
      <c r="H95" s="459" t="s">
        <v>120</v>
      </c>
      <c r="I95" s="775"/>
      <c r="J95" s="453"/>
      <c r="K95" s="408" t="s">
        <v>58</v>
      </c>
      <c r="L95" s="513"/>
      <c r="M95" s="472" t="s">
        <v>234</v>
      </c>
      <c r="N95" s="264"/>
      <c r="O95" s="532"/>
      <c r="P95" s="264"/>
      <c r="Q95" s="264"/>
      <c r="R95" s="264"/>
      <c r="S95" s="374">
        <v>0.2</v>
      </c>
      <c r="T95" s="374">
        <v>0.2</v>
      </c>
      <c r="U95" s="374">
        <v>0.2</v>
      </c>
      <c r="V95" s="374">
        <v>0.2</v>
      </c>
      <c r="W95" s="374">
        <v>0.2</v>
      </c>
      <c r="X95" s="374">
        <v>0.2</v>
      </c>
      <c r="Y95" s="374">
        <v>0.2</v>
      </c>
      <c r="Z95" s="374">
        <v>0.2</v>
      </c>
      <c r="AA95" s="374">
        <v>0.2</v>
      </c>
      <c r="AB95" s="264"/>
      <c r="AC95" s="532"/>
      <c r="AD95" s="488"/>
      <c r="AE95" s="264"/>
      <c r="AF95" s="263"/>
      <c r="AG95" s="374">
        <v>0.2</v>
      </c>
      <c r="AH95" s="374">
        <v>0.2</v>
      </c>
      <c r="AI95" s="374">
        <v>0.2</v>
      </c>
      <c r="AJ95" s="374">
        <v>0.2</v>
      </c>
      <c r="AK95" s="374">
        <v>0.2</v>
      </c>
      <c r="AL95" s="374">
        <v>0.2</v>
      </c>
      <c r="AM95" s="374">
        <v>0.2</v>
      </c>
      <c r="AN95" s="374">
        <v>0.2</v>
      </c>
      <c r="AO95" s="374">
        <v>0.2</v>
      </c>
      <c r="AP95" s="264"/>
      <c r="AQ95" s="264"/>
      <c r="AR95" s="532"/>
      <c r="AS95" s="488"/>
      <c r="AT95" s="264"/>
      <c r="AU95" s="263"/>
      <c r="AV95" s="374">
        <v>0.2</v>
      </c>
      <c r="AW95" s="374">
        <v>0.2</v>
      </c>
      <c r="AX95" s="374">
        <v>0.2</v>
      </c>
      <c r="AY95" s="374">
        <v>0.2</v>
      </c>
      <c r="AZ95" s="374">
        <v>0.2</v>
      </c>
      <c r="BA95" s="374">
        <v>0.2</v>
      </c>
      <c r="BB95" s="374">
        <v>0.2</v>
      </c>
      <c r="BC95" s="374">
        <v>0.2</v>
      </c>
      <c r="BD95" s="374">
        <v>0.2</v>
      </c>
      <c r="BE95" s="264"/>
      <c r="BF95" s="532"/>
      <c r="BG95" s="488"/>
      <c r="BH95" s="264"/>
      <c r="BI95" s="263"/>
      <c r="BJ95" s="374">
        <v>0.2</v>
      </c>
      <c r="BK95" s="374">
        <v>0.2</v>
      </c>
      <c r="BL95" s="374">
        <v>0.2</v>
      </c>
      <c r="BM95" s="374">
        <v>0.2</v>
      </c>
      <c r="BN95" s="374">
        <v>0.2</v>
      </c>
      <c r="BO95" s="374">
        <v>0.2</v>
      </c>
      <c r="BP95" s="374">
        <v>0.2</v>
      </c>
      <c r="BQ95" s="374">
        <v>0.2</v>
      </c>
      <c r="BR95" s="374">
        <v>0.2</v>
      </c>
      <c r="BS95" s="263"/>
    </row>
    <row r="96" spans="1:71" ht="24" customHeight="1" outlineLevel="1" x14ac:dyDescent="0.2">
      <c r="A96" s="312"/>
      <c r="B96" s="263"/>
      <c r="C96" s="263"/>
      <c r="D96" s="263"/>
      <c r="E96" s="263"/>
      <c r="F96" s="263"/>
      <c r="G96" s="506"/>
      <c r="H96" s="484" t="s">
        <v>204</v>
      </c>
      <c r="I96" s="345"/>
      <c r="J96" s="264"/>
      <c r="K96" s="345"/>
      <c r="L96" s="345"/>
      <c r="M96" s="345"/>
      <c r="N96" s="264"/>
      <c r="O96" s="533"/>
      <c r="P96" s="264"/>
      <c r="Q96" s="223">
        <f>SUMIF($H$93:$H$95,$H$93,Q$93:Q$95)</f>
        <v>1</v>
      </c>
      <c r="R96" s="440"/>
      <c r="S96" s="534">
        <f>SUMIF($H$93:$H$95,$H$93,S$93:S$95)</f>
        <v>105.60000000000001</v>
      </c>
      <c r="T96" s="534">
        <f t="shared" ref="T96:AA96" si="132">SUMIF($H$93:$H$95,$H$93,T$93:T$95)</f>
        <v>105.60000000000001</v>
      </c>
      <c r="U96" s="534">
        <f t="shared" si="132"/>
        <v>105.60000000000001</v>
      </c>
      <c r="V96" s="534">
        <f t="shared" si="132"/>
        <v>105.60000000000001</v>
      </c>
      <c r="W96" s="534">
        <f t="shared" si="132"/>
        <v>0</v>
      </c>
      <c r="X96" s="534">
        <f t="shared" si="132"/>
        <v>0</v>
      </c>
      <c r="Y96" s="534">
        <f t="shared" si="132"/>
        <v>52.800000000000004</v>
      </c>
      <c r="Z96" s="534">
        <f t="shared" si="132"/>
        <v>0</v>
      </c>
      <c r="AA96" s="534">
        <f t="shared" si="132"/>
        <v>52.800000000000004</v>
      </c>
      <c r="AB96" s="264"/>
      <c r="AC96" s="533"/>
      <c r="AD96" s="508"/>
      <c r="AE96" s="223">
        <f>SUMIF($H$93:$H$95,$H$93,AE$93:AE$95)</f>
        <v>1</v>
      </c>
      <c r="AF96" s="440"/>
      <c r="AG96" s="534">
        <f>SUMIF($H$93:$H$95,$H$93,AG$93:AG$95)</f>
        <v>105.60000000000001</v>
      </c>
      <c r="AH96" s="534">
        <f t="shared" ref="AH96:AO96" si="133">SUMIF($H$93:$H$95,$H$93,AH$93:AH$95)</f>
        <v>105.60000000000001</v>
      </c>
      <c r="AI96" s="534">
        <f t="shared" si="133"/>
        <v>105.60000000000001</v>
      </c>
      <c r="AJ96" s="534">
        <f t="shared" si="133"/>
        <v>105.60000000000001</v>
      </c>
      <c r="AK96" s="534">
        <f t="shared" si="133"/>
        <v>0</v>
      </c>
      <c r="AL96" s="534">
        <f t="shared" si="133"/>
        <v>0</v>
      </c>
      <c r="AM96" s="534">
        <f t="shared" si="133"/>
        <v>52.800000000000004</v>
      </c>
      <c r="AN96" s="534">
        <f t="shared" si="133"/>
        <v>0</v>
      </c>
      <c r="AO96" s="534">
        <f t="shared" si="133"/>
        <v>52.800000000000004</v>
      </c>
      <c r="AP96" s="264"/>
      <c r="AQ96" s="264"/>
      <c r="AR96" s="533"/>
      <c r="AS96" s="508"/>
      <c r="AT96" s="223">
        <f>SUMIF($H$93:$H$95,$H$93,AT$93:AT$95)</f>
        <v>1</v>
      </c>
      <c r="AU96" s="440"/>
      <c r="AV96" s="534">
        <f>SUMIF($H$93:$H$95,$H$93,AV$93:AV$95)</f>
        <v>105.60000000000001</v>
      </c>
      <c r="AW96" s="534">
        <f t="shared" ref="AW96:BD96" si="134">SUMIF($H$93:$H$95,$H$93,AW$93:AW$95)</f>
        <v>105.60000000000001</v>
      </c>
      <c r="AX96" s="534">
        <f t="shared" si="134"/>
        <v>105.60000000000001</v>
      </c>
      <c r="AY96" s="534">
        <f t="shared" si="134"/>
        <v>105.60000000000001</v>
      </c>
      <c r="AZ96" s="534">
        <f t="shared" si="134"/>
        <v>0</v>
      </c>
      <c r="BA96" s="534">
        <f t="shared" si="134"/>
        <v>0</v>
      </c>
      <c r="BB96" s="534">
        <f t="shared" si="134"/>
        <v>52.800000000000004</v>
      </c>
      <c r="BC96" s="534">
        <f t="shared" si="134"/>
        <v>0</v>
      </c>
      <c r="BD96" s="534">
        <f t="shared" si="134"/>
        <v>52.800000000000004</v>
      </c>
      <c r="BE96" s="264"/>
      <c r="BF96" s="533"/>
      <c r="BG96" s="508"/>
      <c r="BH96" s="223">
        <f>SUMIF($H$93:$H$95,$H$93,BH$93:BH$95)</f>
        <v>1</v>
      </c>
      <c r="BI96" s="440"/>
      <c r="BJ96" s="534">
        <f>SUMIF($H$93:$H$95,$H$93,BJ$93:BJ$95)</f>
        <v>105.60000000000001</v>
      </c>
      <c r="BK96" s="534">
        <f t="shared" ref="BK96:BR96" si="135">SUMIF($H$93:$H$95,$H$93,BK$93:BK$95)</f>
        <v>105.60000000000001</v>
      </c>
      <c r="BL96" s="534">
        <f t="shared" si="135"/>
        <v>105.60000000000001</v>
      </c>
      <c r="BM96" s="534">
        <f t="shared" si="135"/>
        <v>105.60000000000001</v>
      </c>
      <c r="BN96" s="534">
        <f t="shared" si="135"/>
        <v>0</v>
      </c>
      <c r="BO96" s="534">
        <f t="shared" si="135"/>
        <v>0</v>
      </c>
      <c r="BP96" s="534">
        <f t="shared" si="135"/>
        <v>52.800000000000004</v>
      </c>
      <c r="BQ96" s="534">
        <f t="shared" si="135"/>
        <v>0</v>
      </c>
      <c r="BR96" s="534">
        <f t="shared" si="135"/>
        <v>52.800000000000004</v>
      </c>
      <c r="BS96" s="263"/>
    </row>
    <row r="97" spans="1:71" s="267" customFormat="1" ht="24" customHeight="1" outlineLevel="1" x14ac:dyDescent="0.2">
      <c r="A97" s="312"/>
      <c r="B97" s="263"/>
      <c r="C97" s="263"/>
      <c r="D97" s="263"/>
      <c r="E97" s="263"/>
      <c r="F97" s="263"/>
      <c r="G97" s="506"/>
      <c r="H97" s="484"/>
      <c r="I97" s="345"/>
      <c r="J97" s="264"/>
      <c r="K97" s="345"/>
      <c r="L97" s="345"/>
      <c r="M97" s="345"/>
      <c r="N97" s="264"/>
      <c r="O97" s="533"/>
      <c r="P97" s="264"/>
      <c r="Q97" s="223">
        <f>SUMIF($H$93:$H$95,$H$94,Q$93:Q$95)</f>
        <v>1</v>
      </c>
      <c r="R97" s="508"/>
      <c r="S97" s="534">
        <f>SUMIF($H$93:$H$95,$H$94,S$93:S$95)</f>
        <v>0</v>
      </c>
      <c r="T97" s="534">
        <f t="shared" ref="T97:AA97" si="136">SUMIF($H$93:$H$95,$H$94,T$93:T$95)</f>
        <v>0</v>
      </c>
      <c r="U97" s="534">
        <f t="shared" si="136"/>
        <v>0</v>
      </c>
      <c r="V97" s="534">
        <f t="shared" si="136"/>
        <v>0</v>
      </c>
      <c r="W97" s="534">
        <f t="shared" si="136"/>
        <v>0</v>
      </c>
      <c r="X97" s="534">
        <f t="shared" si="136"/>
        <v>0</v>
      </c>
      <c r="Y97" s="534">
        <f t="shared" si="136"/>
        <v>0</v>
      </c>
      <c r="Z97" s="534">
        <f t="shared" si="136"/>
        <v>0</v>
      </c>
      <c r="AA97" s="534">
        <f t="shared" si="136"/>
        <v>0</v>
      </c>
      <c r="AB97" s="264"/>
      <c r="AC97" s="533"/>
      <c r="AD97" s="508"/>
      <c r="AE97" s="223">
        <f>SUMIF($H$93:$H$95,$H$94,AE$93:AE$95)</f>
        <v>1</v>
      </c>
      <c r="AF97" s="508"/>
      <c r="AG97" s="534">
        <f>SUMIF($H$93:$H$95,$H$94,AG$93:AG$95)</f>
        <v>0</v>
      </c>
      <c r="AH97" s="534">
        <f t="shared" ref="AH97:AO97" si="137">SUMIF($H$93:$H$95,$H$94,AH$93:AH$95)</f>
        <v>0</v>
      </c>
      <c r="AI97" s="534">
        <f t="shared" si="137"/>
        <v>0</v>
      </c>
      <c r="AJ97" s="534">
        <f t="shared" si="137"/>
        <v>0</v>
      </c>
      <c r="AK97" s="534">
        <f t="shared" si="137"/>
        <v>0</v>
      </c>
      <c r="AL97" s="534">
        <f t="shared" si="137"/>
        <v>0</v>
      </c>
      <c r="AM97" s="534">
        <f t="shared" si="137"/>
        <v>0</v>
      </c>
      <c r="AN97" s="534">
        <f t="shared" si="137"/>
        <v>0</v>
      </c>
      <c r="AO97" s="534">
        <f t="shared" si="137"/>
        <v>0</v>
      </c>
      <c r="AP97" s="264"/>
      <c r="AQ97" s="264"/>
      <c r="AR97" s="533"/>
      <c r="AS97" s="508"/>
      <c r="AT97" s="223">
        <f>SUMIF($H$93:$H$95,$H$94,AT$93:AT$95)</f>
        <v>1</v>
      </c>
      <c r="AU97" s="508"/>
      <c r="AV97" s="534">
        <f>SUMIF($H$93:$H$95,$H$94,AV$93:AV$95)</f>
        <v>0</v>
      </c>
      <c r="AW97" s="534">
        <f t="shared" ref="AW97:BD97" si="138">SUMIF($H$93:$H$95,$H$94,AW$93:AW$95)</f>
        <v>0</v>
      </c>
      <c r="AX97" s="534">
        <f t="shared" si="138"/>
        <v>0</v>
      </c>
      <c r="AY97" s="534">
        <f t="shared" si="138"/>
        <v>0</v>
      </c>
      <c r="AZ97" s="534">
        <f t="shared" si="138"/>
        <v>0</v>
      </c>
      <c r="BA97" s="534">
        <f t="shared" si="138"/>
        <v>0</v>
      </c>
      <c r="BB97" s="534">
        <f t="shared" si="138"/>
        <v>0</v>
      </c>
      <c r="BC97" s="534">
        <f t="shared" si="138"/>
        <v>0</v>
      </c>
      <c r="BD97" s="534">
        <f t="shared" si="138"/>
        <v>0</v>
      </c>
      <c r="BE97" s="264"/>
      <c r="BF97" s="533"/>
      <c r="BG97" s="508"/>
      <c r="BH97" s="223">
        <f>SUMIF($H$93:$H$95,$H$94,BH$93:BH$95)</f>
        <v>1</v>
      </c>
      <c r="BI97" s="508"/>
      <c r="BJ97" s="534">
        <f>SUMIF($H$93:$H$95,$H$94,BJ$93:BJ$95)</f>
        <v>0</v>
      </c>
      <c r="BK97" s="534">
        <f t="shared" ref="BK97:BR97" si="139">SUMIF($H$93:$H$95,$H$94,BK$93:BK$95)</f>
        <v>0</v>
      </c>
      <c r="BL97" s="534">
        <f t="shared" si="139"/>
        <v>0</v>
      </c>
      <c r="BM97" s="534">
        <f t="shared" si="139"/>
        <v>0</v>
      </c>
      <c r="BN97" s="534">
        <f t="shared" si="139"/>
        <v>0</v>
      </c>
      <c r="BO97" s="534">
        <f t="shared" si="139"/>
        <v>0</v>
      </c>
      <c r="BP97" s="534">
        <f t="shared" si="139"/>
        <v>0</v>
      </c>
      <c r="BQ97" s="534">
        <f t="shared" si="139"/>
        <v>0</v>
      </c>
      <c r="BR97" s="534">
        <f t="shared" si="139"/>
        <v>0</v>
      </c>
      <c r="BS97" s="263"/>
    </row>
    <row r="98" spans="1:71" s="267" customFormat="1" ht="24" customHeight="1" outlineLevel="1" x14ac:dyDescent="0.2">
      <c r="A98" s="312"/>
      <c r="B98" s="263"/>
      <c r="C98" s="263"/>
      <c r="D98" s="263"/>
      <c r="E98" s="263"/>
      <c r="F98" s="263"/>
      <c r="G98" s="506"/>
      <c r="H98" s="484" t="s">
        <v>424</v>
      </c>
      <c r="I98" s="345"/>
      <c r="J98" s="264"/>
      <c r="K98" s="345"/>
      <c r="L98" s="345"/>
      <c r="M98" s="345"/>
      <c r="N98" s="264"/>
      <c r="O98" s="533"/>
      <c r="P98" s="264"/>
      <c r="Q98" s="264"/>
      <c r="R98" s="264"/>
      <c r="S98" s="534">
        <f>S90+S96</f>
        <v>132</v>
      </c>
      <c r="T98" s="534">
        <f t="shared" ref="T98:AA98" si="140">T90+T96</f>
        <v>132</v>
      </c>
      <c r="U98" s="534">
        <f t="shared" si="140"/>
        <v>132</v>
      </c>
      <c r="V98" s="534">
        <f t="shared" si="140"/>
        <v>132</v>
      </c>
      <c r="W98" s="534">
        <f t="shared" si="140"/>
        <v>0</v>
      </c>
      <c r="X98" s="534">
        <f t="shared" si="140"/>
        <v>0</v>
      </c>
      <c r="Y98" s="534">
        <f t="shared" si="140"/>
        <v>66</v>
      </c>
      <c r="Z98" s="534">
        <f t="shared" si="140"/>
        <v>0</v>
      </c>
      <c r="AA98" s="534">
        <f t="shared" si="140"/>
        <v>66</v>
      </c>
      <c r="AB98" s="264"/>
      <c r="AC98" s="533"/>
      <c r="AD98" s="508"/>
      <c r="AE98" s="264"/>
      <c r="AF98" s="263"/>
      <c r="AG98" s="534">
        <f>AG90+AG96</f>
        <v>132</v>
      </c>
      <c r="AH98" s="534">
        <f t="shared" ref="AH98:AO98" si="141">AH90+AH96</f>
        <v>132</v>
      </c>
      <c r="AI98" s="534">
        <f t="shared" si="141"/>
        <v>132</v>
      </c>
      <c r="AJ98" s="534">
        <f t="shared" si="141"/>
        <v>132</v>
      </c>
      <c r="AK98" s="534">
        <f t="shared" si="141"/>
        <v>0</v>
      </c>
      <c r="AL98" s="534">
        <f t="shared" si="141"/>
        <v>0</v>
      </c>
      <c r="AM98" s="534">
        <f t="shared" si="141"/>
        <v>66</v>
      </c>
      <c r="AN98" s="534">
        <f t="shared" si="141"/>
        <v>0</v>
      </c>
      <c r="AO98" s="534">
        <f t="shared" si="141"/>
        <v>66</v>
      </c>
      <c r="AP98" s="264"/>
      <c r="AQ98" s="264"/>
      <c r="AR98" s="533"/>
      <c r="AS98" s="508"/>
      <c r="AT98" s="264"/>
      <c r="AU98" s="263"/>
      <c r="AV98" s="534">
        <f>AV90+AV96</f>
        <v>132</v>
      </c>
      <c r="AW98" s="534">
        <f t="shared" ref="AW98:BD98" si="142">AW90+AW96</f>
        <v>132</v>
      </c>
      <c r="AX98" s="534">
        <f t="shared" si="142"/>
        <v>132</v>
      </c>
      <c r="AY98" s="534">
        <f t="shared" si="142"/>
        <v>132</v>
      </c>
      <c r="AZ98" s="534">
        <f t="shared" si="142"/>
        <v>0</v>
      </c>
      <c r="BA98" s="534">
        <f t="shared" si="142"/>
        <v>0</v>
      </c>
      <c r="BB98" s="534">
        <f t="shared" si="142"/>
        <v>66</v>
      </c>
      <c r="BC98" s="534">
        <f t="shared" si="142"/>
        <v>0</v>
      </c>
      <c r="BD98" s="534">
        <f t="shared" si="142"/>
        <v>66</v>
      </c>
      <c r="BE98" s="264"/>
      <c r="BF98" s="533"/>
      <c r="BG98" s="508"/>
      <c r="BH98" s="264"/>
      <c r="BI98" s="263"/>
      <c r="BJ98" s="534">
        <f>BJ90+BJ96</f>
        <v>132</v>
      </c>
      <c r="BK98" s="534">
        <f t="shared" ref="BK98:BR98" si="143">BK90+BK96</f>
        <v>132</v>
      </c>
      <c r="BL98" s="534">
        <f t="shared" si="143"/>
        <v>132</v>
      </c>
      <c r="BM98" s="534">
        <f t="shared" si="143"/>
        <v>132</v>
      </c>
      <c r="BN98" s="534">
        <f t="shared" si="143"/>
        <v>0</v>
      </c>
      <c r="BO98" s="534">
        <f t="shared" si="143"/>
        <v>0</v>
      </c>
      <c r="BP98" s="534">
        <f t="shared" si="143"/>
        <v>66</v>
      </c>
      <c r="BQ98" s="534">
        <f t="shared" si="143"/>
        <v>0</v>
      </c>
      <c r="BR98" s="534">
        <f t="shared" si="143"/>
        <v>66</v>
      </c>
      <c r="BS98" s="263"/>
    </row>
    <row r="99" spans="1:71" ht="24" customHeight="1" x14ac:dyDescent="0.2">
      <c r="A99" s="312"/>
      <c r="B99" s="263"/>
      <c r="C99" s="263"/>
      <c r="D99" s="263"/>
      <c r="E99" s="263"/>
      <c r="F99" s="263"/>
      <c r="G99" s="506"/>
      <c r="H99" s="484"/>
      <c r="I99" s="345"/>
      <c r="J99" s="264"/>
      <c r="K99" s="345"/>
      <c r="L99" s="345"/>
      <c r="M99" s="345"/>
      <c r="N99" s="264"/>
      <c r="O99" s="484"/>
      <c r="P99" s="264"/>
      <c r="Q99" s="264"/>
      <c r="R99" s="264"/>
      <c r="S99" s="535"/>
      <c r="T99" s="535"/>
      <c r="U99" s="535"/>
      <c r="V99" s="535"/>
      <c r="W99" s="535"/>
      <c r="X99" s="535"/>
      <c r="Y99" s="535"/>
      <c r="Z99" s="535"/>
      <c r="AA99" s="535"/>
      <c r="AB99" s="264"/>
      <c r="AC99" s="484"/>
      <c r="AD99" s="508"/>
      <c r="AE99" s="264"/>
      <c r="AF99" s="263"/>
      <c r="AG99" s="535"/>
      <c r="AH99" s="535"/>
      <c r="AI99" s="535"/>
      <c r="AJ99" s="535"/>
      <c r="AK99" s="535"/>
      <c r="AL99" s="535"/>
      <c r="AM99" s="535"/>
      <c r="AN99" s="535"/>
      <c r="AO99" s="535"/>
      <c r="AP99" s="264"/>
      <c r="AQ99" s="264"/>
      <c r="AR99" s="484"/>
      <c r="AS99" s="508"/>
      <c r="AT99" s="264"/>
      <c r="AU99" s="263"/>
      <c r="AV99" s="536"/>
      <c r="AW99" s="535"/>
      <c r="AX99" s="535"/>
      <c r="AY99" s="535"/>
      <c r="AZ99" s="535"/>
      <c r="BA99" s="535"/>
      <c r="BB99" s="535"/>
      <c r="BC99" s="535"/>
      <c r="BD99" s="535"/>
      <c r="BE99" s="264"/>
      <c r="BF99" s="484"/>
      <c r="BG99" s="508"/>
      <c r="BH99" s="264"/>
      <c r="BI99" s="263"/>
      <c r="BJ99" s="535"/>
      <c r="BK99" s="535"/>
      <c r="BL99" s="535"/>
      <c r="BM99" s="535"/>
      <c r="BN99" s="535"/>
      <c r="BO99" s="535"/>
      <c r="BP99" s="535"/>
      <c r="BQ99" s="535"/>
      <c r="BR99" s="535"/>
      <c r="BS99" s="263"/>
    </row>
    <row r="100" spans="1:71" ht="116.25" customHeight="1" x14ac:dyDescent="0.2">
      <c r="A100" s="400"/>
      <c r="B100" s="396"/>
      <c r="C100" s="396" t="s">
        <v>108</v>
      </c>
      <c r="D100" s="537" t="s">
        <v>349</v>
      </c>
      <c r="E100" s="396"/>
      <c r="F100" s="396"/>
      <c r="G100" s="538"/>
      <c r="H100" s="539" t="s">
        <v>509</v>
      </c>
      <c r="I100" s="540"/>
      <c r="J100" s="396"/>
      <c r="K100" s="541"/>
      <c r="L100" s="541"/>
      <c r="M100" s="541"/>
      <c r="N100" s="396"/>
      <c r="O100" s="542"/>
      <c r="P100" s="396"/>
      <c r="Q100" s="396"/>
      <c r="R100" s="396"/>
      <c r="S100" s="543"/>
      <c r="T100" s="543"/>
      <c r="U100" s="543"/>
      <c r="V100" s="543"/>
      <c r="W100" s="543"/>
      <c r="X100" s="543"/>
      <c r="Y100" s="543"/>
      <c r="Z100" s="543"/>
      <c r="AA100" s="543"/>
      <c r="AB100" s="544"/>
      <c r="AC100" s="542"/>
      <c r="AD100" s="541"/>
      <c r="AE100" s="396"/>
      <c r="AF100" s="396"/>
      <c r="AG100" s="543"/>
      <c r="AH100" s="543"/>
      <c r="AI100" s="543"/>
      <c r="AJ100" s="543"/>
      <c r="AK100" s="543"/>
      <c r="AL100" s="543"/>
      <c r="AM100" s="543"/>
      <c r="AN100" s="543"/>
      <c r="AO100" s="543"/>
      <c r="AP100" s="545"/>
      <c r="AQ100" s="545"/>
      <c r="AR100" s="542"/>
      <c r="AS100" s="541"/>
      <c r="AT100" s="396"/>
      <c r="AU100" s="396"/>
      <c r="AV100" s="396"/>
      <c r="AW100" s="396"/>
      <c r="AX100" s="396"/>
      <c r="AY100" s="396"/>
      <c r="AZ100" s="396"/>
      <c r="BA100" s="396"/>
      <c r="BB100" s="396"/>
      <c r="BC100" s="396"/>
      <c r="BD100" s="396"/>
      <c r="BE100" s="545"/>
      <c r="BF100" s="542"/>
      <c r="BG100" s="541"/>
      <c r="BH100" s="396"/>
      <c r="BI100" s="396"/>
      <c r="BJ100" s="396"/>
      <c r="BK100" s="396"/>
      <c r="BL100" s="396"/>
      <c r="BM100" s="396"/>
      <c r="BN100" s="396"/>
      <c r="BO100" s="396"/>
      <c r="BP100" s="396"/>
      <c r="BQ100" s="396"/>
      <c r="BR100" s="396"/>
      <c r="BS100" s="263"/>
    </row>
    <row r="101" spans="1:71" ht="24" customHeight="1" outlineLevel="1" x14ac:dyDescent="0.2">
      <c r="A101" s="312"/>
      <c r="B101" s="263"/>
      <c r="C101" s="263"/>
      <c r="D101" s="263"/>
      <c r="E101" s="263"/>
      <c r="F101" s="263"/>
      <c r="G101" s="506"/>
      <c r="H101" s="484"/>
      <c r="I101" s="345"/>
      <c r="J101" s="264"/>
      <c r="K101" s="263"/>
      <c r="L101" s="345"/>
      <c r="M101" s="345"/>
      <c r="N101" s="264"/>
      <c r="O101" s="533"/>
      <c r="P101" s="264"/>
      <c r="Q101" s="264"/>
      <c r="R101" s="264"/>
      <c r="S101" s="534"/>
      <c r="T101" s="534"/>
      <c r="U101" s="534"/>
      <c r="V101" s="534"/>
      <c r="W101" s="534"/>
      <c r="X101" s="534"/>
      <c r="Y101" s="534"/>
      <c r="Z101" s="534"/>
      <c r="AA101" s="534"/>
      <c r="AB101" s="264"/>
      <c r="AC101" s="533"/>
      <c r="AD101" s="508"/>
      <c r="AE101" s="264"/>
      <c r="AF101" s="263"/>
      <c r="AG101" s="534"/>
      <c r="AH101" s="534"/>
      <c r="AI101" s="534"/>
      <c r="AJ101" s="534"/>
      <c r="AK101" s="534"/>
      <c r="AL101" s="534"/>
      <c r="AM101" s="534"/>
      <c r="AN101" s="534"/>
      <c r="AO101" s="534"/>
      <c r="AP101" s="264"/>
      <c r="AQ101" s="264"/>
      <c r="AR101" s="533"/>
      <c r="AS101" s="508"/>
      <c r="AT101" s="264"/>
      <c r="AU101" s="263"/>
      <c r="AV101" s="534"/>
      <c r="AW101" s="534"/>
      <c r="AX101" s="534"/>
      <c r="AY101" s="534"/>
      <c r="AZ101" s="534"/>
      <c r="BA101" s="534"/>
      <c r="BB101" s="534"/>
      <c r="BC101" s="534"/>
      <c r="BD101" s="534"/>
      <c r="BE101" s="264"/>
      <c r="BF101" s="533"/>
      <c r="BG101" s="508"/>
      <c r="BH101" s="264"/>
      <c r="BI101" s="263"/>
      <c r="BJ101" s="534"/>
      <c r="BK101" s="534"/>
      <c r="BL101" s="534"/>
      <c r="BM101" s="534"/>
      <c r="BN101" s="534"/>
      <c r="BO101" s="534"/>
      <c r="BP101" s="534"/>
      <c r="BQ101" s="534"/>
      <c r="BR101" s="534"/>
      <c r="BS101" s="263"/>
    </row>
    <row r="102" spans="1:71" ht="24" customHeight="1" outlineLevel="1" x14ac:dyDescent="0.2">
      <c r="A102" s="400"/>
      <c r="B102" s="546" t="s">
        <v>108</v>
      </c>
      <c r="C102" s="547" t="s">
        <v>171</v>
      </c>
      <c r="D102" s="515" t="s">
        <v>109</v>
      </c>
      <c r="E102" s="413" t="s">
        <v>175</v>
      </c>
      <c r="F102" s="414" t="s">
        <v>51</v>
      </c>
      <c r="G102" s="413" t="s">
        <v>50</v>
      </c>
      <c r="H102" s="511" t="s">
        <v>214</v>
      </c>
      <c r="I102" s="744" t="s">
        <v>237</v>
      </c>
      <c r="J102" s="411"/>
      <c r="K102" s="408"/>
      <c r="L102" s="513"/>
      <c r="M102" s="433"/>
      <c r="N102" s="93"/>
      <c r="O102" s="515"/>
      <c r="P102" s="93"/>
      <c r="Q102" s="374"/>
      <c r="R102" s="93"/>
      <c r="S102" s="548"/>
      <c r="T102" s="548"/>
      <c r="U102" s="548"/>
      <c r="V102" s="548"/>
      <c r="W102" s="548"/>
      <c r="X102" s="548"/>
      <c r="Y102" s="548"/>
      <c r="Z102" s="548"/>
      <c r="AA102" s="548"/>
      <c r="AB102" s="93"/>
      <c r="AC102" s="515"/>
      <c r="AD102" s="440"/>
      <c r="AE102" s="374"/>
      <c r="AF102" s="158"/>
      <c r="AG102" s="548"/>
      <c r="AH102" s="548"/>
      <c r="AI102" s="548"/>
      <c r="AJ102" s="548"/>
      <c r="AK102" s="548"/>
      <c r="AL102" s="548"/>
      <c r="AM102" s="548"/>
      <c r="AN102" s="548"/>
      <c r="AO102" s="548"/>
      <c r="AP102" s="264"/>
      <c r="AQ102" s="264"/>
      <c r="AR102" s="514" t="s">
        <v>348</v>
      </c>
      <c r="AS102" s="440"/>
      <c r="AT102" s="374">
        <v>0.1</v>
      </c>
      <c r="AU102" s="158"/>
      <c r="AV102" s="419">
        <f>(1+Sensitivity_Term_channels)*(Complex_Process_Effort*(1+PM_Overhead)*$AT102)</f>
        <v>6.6000000000000005</v>
      </c>
      <c r="AW102" s="419">
        <f>(1+Sensitivity_Term_channels)*(Complex_Process_Effort*(1+PM_Overhead)*$AT102)</f>
        <v>6.6000000000000005</v>
      </c>
      <c r="AX102" s="419">
        <f>(1+Sensitivity_Term_channels)*(Complex_Process_Effort*(1+PM_Overhead)*$AT102)</f>
        <v>6.6000000000000005</v>
      </c>
      <c r="AY102" s="419">
        <f>(1+Sensitivity_Term_channels)*(Complex_Process_Effort*(1+PM_Overhead)*$AT102)</f>
        <v>6.6000000000000005</v>
      </c>
      <c r="AZ102" s="419">
        <f>(1+Sensitivity_Term_channels)*0</f>
        <v>0</v>
      </c>
      <c r="BA102" s="419">
        <f>(1+Sensitivity_Term_channels)*0</f>
        <v>0</v>
      </c>
      <c r="BB102" s="419">
        <f>(1+Sensitivity_Term_channels)*(Complex_Process_Effort*(1+PM_Overhead)*$AT102)*TierC_TierB_ratio</f>
        <v>3.3000000000000003</v>
      </c>
      <c r="BC102" s="419">
        <f>(1+Sensitivity_Term_channels)*0</f>
        <v>0</v>
      </c>
      <c r="BD102" s="419">
        <f>BB102</f>
        <v>3.3000000000000003</v>
      </c>
      <c r="BE102" s="264"/>
      <c r="BF102" s="514" t="s">
        <v>348</v>
      </c>
      <c r="BG102" s="440"/>
      <c r="BH102" s="374">
        <v>0.1</v>
      </c>
      <c r="BI102" s="158"/>
      <c r="BJ102" s="419">
        <f>(1+Sensitivity_Term_channels)*(Complex_Process_Effort*(1+PM_Overhead)*$AT102)</f>
        <v>6.6000000000000005</v>
      </c>
      <c r="BK102" s="419">
        <f>(1+Sensitivity_Term_channels)*(Complex_Process_Effort*(1+PM_Overhead)*$AT102)</f>
        <v>6.6000000000000005</v>
      </c>
      <c r="BL102" s="419">
        <f>(1+Sensitivity_Term_channels)*(Complex_Process_Effort*(1+PM_Overhead)*$AT102)</f>
        <v>6.6000000000000005</v>
      </c>
      <c r="BM102" s="419">
        <f>(1+Sensitivity_Term_channels)*(Complex_Process_Effort*(1+PM_Overhead)*$AT102)</f>
        <v>6.6000000000000005</v>
      </c>
      <c r="BN102" s="419">
        <f>(1+Sensitivity_Term_channels)*0</f>
        <v>0</v>
      </c>
      <c r="BO102" s="419">
        <f>(1+Sensitivity_Term_channels)*0</f>
        <v>0</v>
      </c>
      <c r="BP102" s="419">
        <f>(1+Sensitivity_Term_channels)*(Complex_Process_Effort*(1+PM_Overhead)*$AT102)*TierC_TierB_ratio</f>
        <v>3.3000000000000003</v>
      </c>
      <c r="BQ102" s="419">
        <f>(1+Sensitivity_Term_channels)*0</f>
        <v>0</v>
      </c>
      <c r="BR102" s="419">
        <f>BP102</f>
        <v>3.3000000000000003</v>
      </c>
      <c r="BS102" s="263"/>
    </row>
    <row r="103" spans="1:71" ht="24" customHeight="1" outlineLevel="1" x14ac:dyDescent="0.2">
      <c r="A103" s="400"/>
      <c r="B103" s="546" t="s">
        <v>108</v>
      </c>
      <c r="C103" s="547" t="s">
        <v>171</v>
      </c>
      <c r="D103" s="515" t="s">
        <v>109</v>
      </c>
      <c r="E103" s="413" t="s">
        <v>175</v>
      </c>
      <c r="F103" s="414" t="s">
        <v>49</v>
      </c>
      <c r="G103" s="413" t="s">
        <v>47</v>
      </c>
      <c r="H103" s="511" t="s">
        <v>118</v>
      </c>
      <c r="I103" s="745"/>
      <c r="J103" s="411"/>
      <c r="K103" s="408"/>
      <c r="L103" s="513"/>
      <c r="M103" s="433"/>
      <c r="N103" s="93"/>
      <c r="O103" s="515"/>
      <c r="P103" s="93"/>
      <c r="Q103" s="93"/>
      <c r="R103" s="93"/>
      <c r="S103" s="549"/>
      <c r="T103" s="549"/>
      <c r="U103" s="549"/>
      <c r="V103" s="549"/>
      <c r="W103" s="549"/>
      <c r="X103" s="549"/>
      <c r="Y103" s="549"/>
      <c r="Z103" s="549"/>
      <c r="AA103" s="549"/>
      <c r="AB103" s="93"/>
      <c r="AC103" s="515"/>
      <c r="AD103" s="440"/>
      <c r="AE103" s="93"/>
      <c r="AF103" s="158"/>
      <c r="AG103" s="549"/>
      <c r="AH103" s="549"/>
      <c r="AI103" s="549"/>
      <c r="AJ103" s="549"/>
      <c r="AK103" s="549"/>
      <c r="AL103" s="549"/>
      <c r="AM103" s="549"/>
      <c r="AN103" s="549"/>
      <c r="AO103" s="549"/>
      <c r="AP103" s="264"/>
      <c r="AQ103" s="264"/>
      <c r="AR103" s="515"/>
      <c r="AS103" s="440"/>
      <c r="AT103" s="93"/>
      <c r="AU103" s="158"/>
      <c r="AV103" s="374">
        <v>0.2</v>
      </c>
      <c r="AW103" s="374">
        <v>0.2</v>
      </c>
      <c r="AX103" s="374">
        <v>0.2</v>
      </c>
      <c r="AY103" s="374">
        <v>0.2</v>
      </c>
      <c r="AZ103" s="374">
        <v>0.2</v>
      </c>
      <c r="BA103" s="374">
        <v>0.2</v>
      </c>
      <c r="BB103" s="374">
        <v>0.2</v>
      </c>
      <c r="BC103" s="374">
        <v>0.2</v>
      </c>
      <c r="BD103" s="374">
        <v>0.2</v>
      </c>
      <c r="BE103" s="264"/>
      <c r="BF103" s="515"/>
      <c r="BG103" s="440"/>
      <c r="BH103" s="93"/>
      <c r="BI103" s="158"/>
      <c r="BJ103" s="374">
        <v>0.2</v>
      </c>
      <c r="BK103" s="374">
        <v>0.2</v>
      </c>
      <c r="BL103" s="374">
        <v>0.2</v>
      </c>
      <c r="BM103" s="374">
        <v>0.2</v>
      </c>
      <c r="BN103" s="374">
        <v>0.2</v>
      </c>
      <c r="BO103" s="374">
        <v>0.2</v>
      </c>
      <c r="BP103" s="374">
        <v>0.2</v>
      </c>
      <c r="BQ103" s="374">
        <v>0.2</v>
      </c>
      <c r="BR103" s="374">
        <v>0.2</v>
      </c>
      <c r="BS103" s="263"/>
    </row>
    <row r="104" spans="1:71" ht="24" customHeight="1" outlineLevel="1" x14ac:dyDescent="0.2">
      <c r="A104" s="400"/>
      <c r="B104" s="546" t="s">
        <v>108</v>
      </c>
      <c r="C104" s="547" t="s">
        <v>171</v>
      </c>
      <c r="D104" s="515" t="s">
        <v>109</v>
      </c>
      <c r="E104" s="413" t="s">
        <v>175</v>
      </c>
      <c r="F104" s="414" t="s">
        <v>51</v>
      </c>
      <c r="G104" s="413" t="s">
        <v>50</v>
      </c>
      <c r="H104" s="511" t="s">
        <v>117</v>
      </c>
      <c r="I104" s="745"/>
      <c r="J104" s="407"/>
      <c r="K104" s="408"/>
      <c r="L104" s="513"/>
      <c r="M104" s="550"/>
      <c r="N104" s="93"/>
      <c r="O104" s="551"/>
      <c r="P104" s="93"/>
      <c r="Q104" s="374"/>
      <c r="R104" s="93"/>
      <c r="S104" s="548"/>
      <c r="T104" s="548"/>
      <c r="U104" s="548"/>
      <c r="V104" s="548"/>
      <c r="W104" s="548"/>
      <c r="X104" s="548"/>
      <c r="Y104" s="548"/>
      <c r="Z104" s="548"/>
      <c r="AA104" s="548"/>
      <c r="AB104" s="93"/>
      <c r="AC104" s="551"/>
      <c r="AD104" s="454"/>
      <c r="AE104" s="374"/>
      <c r="AF104" s="158"/>
      <c r="AG104" s="548"/>
      <c r="AH104" s="548"/>
      <c r="AI104" s="548"/>
      <c r="AJ104" s="548"/>
      <c r="AK104" s="548"/>
      <c r="AL104" s="548"/>
      <c r="AM104" s="548"/>
      <c r="AN104" s="548"/>
      <c r="AO104" s="548"/>
      <c r="AP104" s="264"/>
      <c r="AQ104" s="264"/>
      <c r="AR104" s="551" t="s">
        <v>251</v>
      </c>
      <c r="AS104" s="454"/>
      <c r="AT104" s="374">
        <v>0</v>
      </c>
      <c r="AU104" s="158"/>
      <c r="AV104" s="419">
        <f t="shared" ref="AV104:BD104" si="144">(1+Sensitivity_Term_channels)*Training_Duration*$AT104</f>
        <v>0</v>
      </c>
      <c r="AW104" s="419">
        <f t="shared" si="144"/>
        <v>0</v>
      </c>
      <c r="AX104" s="419">
        <f t="shared" si="144"/>
        <v>0</v>
      </c>
      <c r="AY104" s="419">
        <f t="shared" si="144"/>
        <v>0</v>
      </c>
      <c r="AZ104" s="419">
        <f t="shared" si="144"/>
        <v>0</v>
      </c>
      <c r="BA104" s="419">
        <f t="shared" si="144"/>
        <v>0</v>
      </c>
      <c r="BB104" s="419">
        <f t="shared" si="144"/>
        <v>0</v>
      </c>
      <c r="BC104" s="419">
        <f t="shared" si="144"/>
        <v>0</v>
      </c>
      <c r="BD104" s="419">
        <f t="shared" si="144"/>
        <v>0</v>
      </c>
      <c r="BE104" s="264"/>
      <c r="BF104" s="551" t="s">
        <v>251</v>
      </c>
      <c r="BG104" s="454"/>
      <c r="BH104" s="374">
        <v>0</v>
      </c>
      <c r="BI104" s="158"/>
      <c r="BJ104" s="419">
        <f t="shared" ref="BJ104:BR104" si="145">(1+Sensitivity_Term_channels)*Training_Duration*$AT104</f>
        <v>0</v>
      </c>
      <c r="BK104" s="419">
        <f t="shared" si="145"/>
        <v>0</v>
      </c>
      <c r="BL104" s="419">
        <f t="shared" si="145"/>
        <v>0</v>
      </c>
      <c r="BM104" s="419">
        <f t="shared" si="145"/>
        <v>0</v>
      </c>
      <c r="BN104" s="419">
        <f t="shared" si="145"/>
        <v>0</v>
      </c>
      <c r="BO104" s="419">
        <f t="shared" si="145"/>
        <v>0</v>
      </c>
      <c r="BP104" s="419">
        <f t="shared" si="145"/>
        <v>0</v>
      </c>
      <c r="BQ104" s="419">
        <f t="shared" si="145"/>
        <v>0</v>
      </c>
      <c r="BR104" s="419">
        <f t="shared" si="145"/>
        <v>0</v>
      </c>
      <c r="BS104" s="263"/>
    </row>
    <row r="105" spans="1:71" ht="24" customHeight="1" outlineLevel="1" x14ac:dyDescent="0.2">
      <c r="A105" s="400"/>
      <c r="B105" s="546" t="s">
        <v>108</v>
      </c>
      <c r="C105" s="547" t="s">
        <v>171</v>
      </c>
      <c r="D105" s="515" t="s">
        <v>109</v>
      </c>
      <c r="E105" s="413" t="s">
        <v>175</v>
      </c>
      <c r="F105" s="414" t="s">
        <v>48</v>
      </c>
      <c r="G105" s="413" t="s">
        <v>50</v>
      </c>
      <c r="H105" s="511" t="s">
        <v>116</v>
      </c>
      <c r="I105" s="746"/>
      <c r="J105" s="417"/>
      <c r="K105" s="408"/>
      <c r="L105" s="513"/>
      <c r="M105" s="433"/>
      <c r="N105" s="93"/>
      <c r="O105" s="551"/>
      <c r="P105" s="93"/>
      <c r="Q105" s="93"/>
      <c r="R105" s="93"/>
      <c r="S105" s="548"/>
      <c r="T105" s="548"/>
      <c r="U105" s="548"/>
      <c r="V105" s="548"/>
      <c r="W105" s="548"/>
      <c r="X105" s="548"/>
      <c r="Y105" s="548"/>
      <c r="Z105" s="548"/>
      <c r="AA105" s="548"/>
      <c r="AB105" s="93"/>
      <c r="AC105" s="551"/>
      <c r="AD105" s="440"/>
      <c r="AE105" s="93"/>
      <c r="AF105" s="158"/>
      <c r="AG105" s="548"/>
      <c r="AH105" s="548"/>
      <c r="AI105" s="548"/>
      <c r="AJ105" s="548"/>
      <c r="AK105" s="548"/>
      <c r="AL105" s="548"/>
      <c r="AM105" s="548"/>
      <c r="AN105" s="548"/>
      <c r="AO105" s="548"/>
      <c r="AP105" s="264"/>
      <c r="AQ105" s="264"/>
      <c r="AR105" s="551" t="s">
        <v>218</v>
      </c>
      <c r="AS105" s="440"/>
      <c r="AT105" s="93"/>
      <c r="AU105" s="158"/>
      <c r="AV105" s="419">
        <v>0</v>
      </c>
      <c r="AW105" s="419">
        <v>0</v>
      </c>
      <c r="AX105" s="419">
        <v>0</v>
      </c>
      <c r="AY105" s="419">
        <v>0</v>
      </c>
      <c r="AZ105" s="419">
        <v>0</v>
      </c>
      <c r="BA105" s="419">
        <v>0</v>
      </c>
      <c r="BB105" s="419">
        <v>0</v>
      </c>
      <c r="BC105" s="419">
        <v>0</v>
      </c>
      <c r="BD105" s="419">
        <v>0</v>
      </c>
      <c r="BE105" s="264"/>
      <c r="BF105" s="551" t="s">
        <v>218</v>
      </c>
      <c r="BG105" s="440"/>
      <c r="BH105" s="93"/>
      <c r="BI105" s="158"/>
      <c r="BJ105" s="419">
        <v>0</v>
      </c>
      <c r="BK105" s="419">
        <v>0</v>
      </c>
      <c r="BL105" s="419">
        <v>0</v>
      </c>
      <c r="BM105" s="419">
        <v>0</v>
      </c>
      <c r="BN105" s="419">
        <v>0</v>
      </c>
      <c r="BO105" s="419">
        <v>0</v>
      </c>
      <c r="BP105" s="419">
        <v>0</v>
      </c>
      <c r="BQ105" s="419">
        <v>0</v>
      </c>
      <c r="BR105" s="419">
        <v>0</v>
      </c>
      <c r="BS105" s="263"/>
    </row>
    <row r="106" spans="1:71" ht="24" customHeight="1" outlineLevel="1" x14ac:dyDescent="0.2">
      <c r="A106" s="312"/>
      <c r="B106" s="437" t="s">
        <v>108</v>
      </c>
      <c r="C106" s="171" t="s">
        <v>171</v>
      </c>
      <c r="D106" s="432" t="s">
        <v>109</v>
      </c>
      <c r="E106" s="426" t="s">
        <v>149</v>
      </c>
      <c r="F106" s="422" t="s">
        <v>51</v>
      </c>
      <c r="G106" s="426" t="s">
        <v>50</v>
      </c>
      <c r="H106" s="552" t="s">
        <v>214</v>
      </c>
      <c r="I106" s="747" t="s">
        <v>180</v>
      </c>
      <c r="J106" s="424"/>
      <c r="K106" s="408"/>
      <c r="L106" s="513"/>
      <c r="M106" s="442"/>
      <c r="N106" s="264"/>
      <c r="O106" s="553"/>
      <c r="P106" s="264"/>
      <c r="Q106" s="374"/>
      <c r="R106" s="264"/>
      <c r="S106" s="548"/>
      <c r="T106" s="548"/>
      <c r="U106" s="548"/>
      <c r="V106" s="548"/>
      <c r="W106" s="548"/>
      <c r="X106" s="548"/>
      <c r="Y106" s="548"/>
      <c r="Z106" s="548"/>
      <c r="AA106" s="548"/>
      <c r="AB106" s="264"/>
      <c r="AC106" s="553"/>
      <c r="AD106" s="424"/>
      <c r="AE106" s="374"/>
      <c r="AF106" s="263"/>
      <c r="AG106" s="548"/>
      <c r="AH106" s="548"/>
      <c r="AI106" s="548"/>
      <c r="AJ106" s="548"/>
      <c r="AK106" s="548"/>
      <c r="AL106" s="548"/>
      <c r="AM106" s="548"/>
      <c r="AN106" s="548"/>
      <c r="AO106" s="548"/>
      <c r="AP106" s="264"/>
      <c r="AQ106" s="264"/>
      <c r="AR106" s="553" t="s">
        <v>348</v>
      </c>
      <c r="AS106" s="424"/>
      <c r="AT106" s="374">
        <v>0.3</v>
      </c>
      <c r="AU106" s="263"/>
      <c r="AV106" s="419">
        <f>(1+Sensitivity_Term_channels)*(Complex_Process_Effort*(1+PM_Overhead)*$AT106)*(1-$K$106)</f>
        <v>19.8</v>
      </c>
      <c r="AW106" s="419">
        <f>(1+Sensitivity_Term_channels)*(Complex_Process_Effort*(1+PM_Overhead)*$AT106)*(1-$K$106)</f>
        <v>19.8</v>
      </c>
      <c r="AX106" s="419">
        <f>(1+Sensitivity_Term_channels)*(Complex_Process_Effort*(1+PM_Overhead)*$AT106)*(1-$K$106)</f>
        <v>19.8</v>
      </c>
      <c r="AY106" s="419">
        <f>(1+Sensitivity_Term_channels)*(Complex_Process_Effort*(1+PM_Overhead)*$AT106)*(1-$K$106)</f>
        <v>19.8</v>
      </c>
      <c r="AZ106" s="419">
        <f>(1+Sensitivity_Term_channels)*0</f>
        <v>0</v>
      </c>
      <c r="BA106" s="419">
        <f>(1+Sensitivity_Term_channels)*0</f>
        <v>0</v>
      </c>
      <c r="BB106" s="419">
        <f>(1+Sensitivity_Term_channels)*(Complex_Process_Effort*(1+PM_Overhead)*$AT106)*(1-$K$106)*TierC_TierB_ratio</f>
        <v>9.9</v>
      </c>
      <c r="BC106" s="419">
        <f>(1+Sensitivity_Term_channels)*0</f>
        <v>0</v>
      </c>
      <c r="BD106" s="419">
        <f>BB106</f>
        <v>9.9</v>
      </c>
      <c r="BE106" s="264"/>
      <c r="BF106" s="553" t="s">
        <v>348</v>
      </c>
      <c r="BG106" s="424"/>
      <c r="BH106" s="374">
        <v>0.3</v>
      </c>
      <c r="BI106" s="263"/>
      <c r="BJ106" s="419">
        <f>(1+Sensitivity_Term_channels)*(Complex_Process_Effort*(1+PM_Overhead)*$AT106)*(1-$K$106)</f>
        <v>19.8</v>
      </c>
      <c r="BK106" s="419">
        <f>(1+Sensitivity_Term_channels)*(Complex_Process_Effort*(1+PM_Overhead)*$AT106)*(1-$K$106)</f>
        <v>19.8</v>
      </c>
      <c r="BL106" s="419">
        <f>(1+Sensitivity_Term_channels)*(Complex_Process_Effort*(1+PM_Overhead)*$AT106)*(1-$K$106)</f>
        <v>19.8</v>
      </c>
      <c r="BM106" s="419">
        <f>(1+Sensitivity_Term_channels)*(Complex_Process_Effort*(1+PM_Overhead)*$AT106)*(1-$K$106)</f>
        <v>19.8</v>
      </c>
      <c r="BN106" s="419">
        <f>(1+Sensitivity_Term_channels)*0</f>
        <v>0</v>
      </c>
      <c r="BO106" s="419">
        <f>(1+Sensitivity_Term_channels)*0</f>
        <v>0</v>
      </c>
      <c r="BP106" s="419">
        <f>(1+Sensitivity_Term_channels)*(Complex_Process_Effort*(1+PM_Overhead)*$AT106)*(1-$K$106)*TierC_TierB_ratio</f>
        <v>9.9</v>
      </c>
      <c r="BQ106" s="419">
        <f>(1+Sensitivity_Term_channels)*0</f>
        <v>0</v>
      </c>
      <c r="BR106" s="419">
        <f>BP106</f>
        <v>9.9</v>
      </c>
      <c r="BS106" s="263"/>
    </row>
    <row r="107" spans="1:71" ht="24" customHeight="1" outlineLevel="1" x14ac:dyDescent="0.2">
      <c r="A107" s="312"/>
      <c r="B107" s="437" t="s">
        <v>108</v>
      </c>
      <c r="C107" s="171" t="s">
        <v>171</v>
      </c>
      <c r="D107" s="432" t="s">
        <v>109</v>
      </c>
      <c r="E107" s="426" t="s">
        <v>149</v>
      </c>
      <c r="F107" s="422" t="s">
        <v>49</v>
      </c>
      <c r="G107" s="426" t="s">
        <v>47</v>
      </c>
      <c r="H107" s="552" t="s">
        <v>118</v>
      </c>
      <c r="I107" s="748"/>
      <c r="J107" s="424"/>
      <c r="K107" s="408"/>
      <c r="L107" s="513"/>
      <c r="M107" s="425"/>
      <c r="N107" s="264"/>
      <c r="O107" s="442"/>
      <c r="P107" s="264"/>
      <c r="Q107" s="264"/>
      <c r="R107" s="264"/>
      <c r="S107" s="549"/>
      <c r="T107" s="549"/>
      <c r="U107" s="549"/>
      <c r="V107" s="549"/>
      <c r="W107" s="549"/>
      <c r="X107" s="549"/>
      <c r="Y107" s="549"/>
      <c r="Z107" s="549"/>
      <c r="AA107" s="549"/>
      <c r="AB107" s="264"/>
      <c r="AC107" s="442"/>
      <c r="AD107" s="424"/>
      <c r="AE107" s="264"/>
      <c r="AF107" s="263"/>
      <c r="AG107" s="549"/>
      <c r="AH107" s="549"/>
      <c r="AI107" s="549"/>
      <c r="AJ107" s="549"/>
      <c r="AK107" s="549"/>
      <c r="AL107" s="549"/>
      <c r="AM107" s="549"/>
      <c r="AN107" s="549"/>
      <c r="AO107" s="549"/>
      <c r="AP107" s="264"/>
      <c r="AQ107" s="264"/>
      <c r="AR107" s="442"/>
      <c r="AS107" s="424"/>
      <c r="AT107" s="264"/>
      <c r="AU107" s="263"/>
      <c r="AV107" s="374">
        <v>0.2</v>
      </c>
      <c r="AW107" s="374">
        <v>0.2</v>
      </c>
      <c r="AX107" s="374">
        <v>0.2</v>
      </c>
      <c r="AY107" s="374">
        <v>0.2</v>
      </c>
      <c r="AZ107" s="374">
        <v>0.2</v>
      </c>
      <c r="BA107" s="374">
        <v>0.2</v>
      </c>
      <c r="BB107" s="374">
        <v>0.2</v>
      </c>
      <c r="BC107" s="374">
        <v>0.2</v>
      </c>
      <c r="BD107" s="374">
        <v>0.2</v>
      </c>
      <c r="BE107" s="264"/>
      <c r="BF107" s="442"/>
      <c r="BG107" s="424"/>
      <c r="BH107" s="264"/>
      <c r="BI107" s="263"/>
      <c r="BJ107" s="374">
        <v>0.2</v>
      </c>
      <c r="BK107" s="374">
        <v>0.2</v>
      </c>
      <c r="BL107" s="374">
        <v>0.2</v>
      </c>
      <c r="BM107" s="374">
        <v>0.2</v>
      </c>
      <c r="BN107" s="374">
        <v>0.2</v>
      </c>
      <c r="BO107" s="374">
        <v>0.2</v>
      </c>
      <c r="BP107" s="374">
        <v>0.2</v>
      </c>
      <c r="BQ107" s="374">
        <v>0.2</v>
      </c>
      <c r="BR107" s="374">
        <v>0.2</v>
      </c>
      <c r="BS107" s="263"/>
    </row>
    <row r="108" spans="1:71" ht="24" customHeight="1" outlineLevel="1" x14ac:dyDescent="0.2">
      <c r="A108" s="400"/>
      <c r="B108" s="437" t="s">
        <v>108</v>
      </c>
      <c r="C108" s="171" t="s">
        <v>171</v>
      </c>
      <c r="D108" s="432" t="s">
        <v>109</v>
      </c>
      <c r="E108" s="426" t="s">
        <v>149</v>
      </c>
      <c r="F108" s="422" t="s">
        <v>51</v>
      </c>
      <c r="G108" s="426" t="s">
        <v>50</v>
      </c>
      <c r="H108" s="552" t="s">
        <v>117</v>
      </c>
      <c r="I108" s="748"/>
      <c r="J108" s="424"/>
      <c r="K108" s="408"/>
      <c r="L108" s="513"/>
      <c r="M108" s="442"/>
      <c r="N108" s="93"/>
      <c r="O108" s="553"/>
      <c r="P108" s="93"/>
      <c r="Q108" s="374"/>
      <c r="R108" s="93"/>
      <c r="S108" s="548"/>
      <c r="T108" s="548"/>
      <c r="U108" s="548"/>
      <c r="V108" s="548"/>
      <c r="W108" s="548"/>
      <c r="X108" s="548"/>
      <c r="Y108" s="548"/>
      <c r="Z108" s="548"/>
      <c r="AA108" s="548"/>
      <c r="AB108" s="93"/>
      <c r="AC108" s="553"/>
      <c r="AD108" s="424"/>
      <c r="AE108" s="374"/>
      <c r="AF108" s="158"/>
      <c r="AG108" s="548"/>
      <c r="AH108" s="548"/>
      <c r="AI108" s="548"/>
      <c r="AJ108" s="548"/>
      <c r="AK108" s="548"/>
      <c r="AL108" s="548"/>
      <c r="AM108" s="548"/>
      <c r="AN108" s="548"/>
      <c r="AO108" s="548"/>
      <c r="AP108" s="264"/>
      <c r="AQ108" s="264"/>
      <c r="AR108" s="553"/>
      <c r="AS108" s="424"/>
      <c r="AT108" s="374">
        <v>0</v>
      </c>
      <c r="AU108" s="158"/>
      <c r="AV108" s="419">
        <f t="shared" ref="AV108:BD108" si="146">(1+Sensitivity_Term_channels)*Training_Duration*$AT108</f>
        <v>0</v>
      </c>
      <c r="AW108" s="419">
        <f t="shared" si="146"/>
        <v>0</v>
      </c>
      <c r="AX108" s="419">
        <f t="shared" si="146"/>
        <v>0</v>
      </c>
      <c r="AY108" s="419">
        <f t="shared" si="146"/>
        <v>0</v>
      </c>
      <c r="AZ108" s="419">
        <f t="shared" si="146"/>
        <v>0</v>
      </c>
      <c r="BA108" s="419">
        <f t="shared" si="146"/>
        <v>0</v>
      </c>
      <c r="BB108" s="419">
        <f t="shared" si="146"/>
        <v>0</v>
      </c>
      <c r="BC108" s="419">
        <f t="shared" si="146"/>
        <v>0</v>
      </c>
      <c r="BD108" s="419">
        <f t="shared" si="146"/>
        <v>0</v>
      </c>
      <c r="BE108" s="264"/>
      <c r="BF108" s="553"/>
      <c r="BG108" s="424"/>
      <c r="BH108" s="374">
        <v>0</v>
      </c>
      <c r="BI108" s="158"/>
      <c r="BJ108" s="419">
        <f t="shared" ref="BJ108:BR108" si="147">(1+Sensitivity_Term_channels)*Training_Duration*$AT108</f>
        <v>0</v>
      </c>
      <c r="BK108" s="419">
        <f t="shared" si="147"/>
        <v>0</v>
      </c>
      <c r="BL108" s="419">
        <f t="shared" si="147"/>
        <v>0</v>
      </c>
      <c r="BM108" s="419">
        <f t="shared" si="147"/>
        <v>0</v>
      </c>
      <c r="BN108" s="419">
        <f t="shared" si="147"/>
        <v>0</v>
      </c>
      <c r="BO108" s="419">
        <f t="shared" si="147"/>
        <v>0</v>
      </c>
      <c r="BP108" s="419">
        <f t="shared" si="147"/>
        <v>0</v>
      </c>
      <c r="BQ108" s="419">
        <f t="shared" si="147"/>
        <v>0</v>
      </c>
      <c r="BR108" s="419">
        <f t="shared" si="147"/>
        <v>0</v>
      </c>
      <c r="BS108" s="263"/>
    </row>
    <row r="109" spans="1:71" ht="24" customHeight="1" outlineLevel="1" x14ac:dyDescent="0.2">
      <c r="A109" s="400"/>
      <c r="B109" s="437" t="s">
        <v>108</v>
      </c>
      <c r="C109" s="171" t="s">
        <v>171</v>
      </c>
      <c r="D109" s="432" t="s">
        <v>109</v>
      </c>
      <c r="E109" s="426" t="s">
        <v>149</v>
      </c>
      <c r="F109" s="422" t="s">
        <v>48</v>
      </c>
      <c r="G109" s="426" t="s">
        <v>50</v>
      </c>
      <c r="H109" s="552" t="s">
        <v>181</v>
      </c>
      <c r="I109" s="749"/>
      <c r="J109" s="424"/>
      <c r="K109" s="408"/>
      <c r="L109" s="513"/>
      <c r="M109" s="425"/>
      <c r="N109" s="264"/>
      <c r="O109" s="554"/>
      <c r="P109" s="264"/>
      <c r="Q109" s="264"/>
      <c r="R109" s="264"/>
      <c r="S109" s="548"/>
      <c r="T109" s="548"/>
      <c r="U109" s="548"/>
      <c r="V109" s="548"/>
      <c r="W109" s="548"/>
      <c r="X109" s="548"/>
      <c r="Y109" s="548"/>
      <c r="Z109" s="548"/>
      <c r="AA109" s="548"/>
      <c r="AB109" s="93"/>
      <c r="AC109" s="554"/>
      <c r="AD109" s="424"/>
      <c r="AE109" s="264"/>
      <c r="AF109" s="263"/>
      <c r="AG109" s="548"/>
      <c r="AH109" s="548"/>
      <c r="AI109" s="548"/>
      <c r="AJ109" s="548"/>
      <c r="AK109" s="548"/>
      <c r="AL109" s="548"/>
      <c r="AM109" s="548"/>
      <c r="AN109" s="548"/>
      <c r="AO109" s="548"/>
      <c r="AP109" s="264"/>
      <c r="AQ109" s="264"/>
      <c r="AR109" s="554" t="s">
        <v>218</v>
      </c>
      <c r="AS109" s="424"/>
      <c r="AT109" s="264"/>
      <c r="AU109" s="263"/>
      <c r="AV109" s="419">
        <v>0</v>
      </c>
      <c r="AW109" s="419">
        <v>0</v>
      </c>
      <c r="AX109" s="419">
        <v>0</v>
      </c>
      <c r="AY109" s="419">
        <v>0</v>
      </c>
      <c r="AZ109" s="419">
        <v>0</v>
      </c>
      <c r="BA109" s="419">
        <v>0</v>
      </c>
      <c r="BB109" s="419">
        <v>0</v>
      </c>
      <c r="BC109" s="419">
        <v>0</v>
      </c>
      <c r="BD109" s="419">
        <v>0</v>
      </c>
      <c r="BE109" s="264"/>
      <c r="BF109" s="554" t="s">
        <v>218</v>
      </c>
      <c r="BG109" s="424"/>
      <c r="BH109" s="264"/>
      <c r="BI109" s="263"/>
      <c r="BJ109" s="419">
        <v>0</v>
      </c>
      <c r="BK109" s="419">
        <v>0</v>
      </c>
      <c r="BL109" s="419">
        <v>0</v>
      </c>
      <c r="BM109" s="419">
        <v>0</v>
      </c>
      <c r="BN109" s="419">
        <v>0</v>
      </c>
      <c r="BO109" s="419">
        <v>0</v>
      </c>
      <c r="BP109" s="419">
        <v>0</v>
      </c>
      <c r="BQ109" s="419">
        <v>0</v>
      </c>
      <c r="BR109" s="419">
        <v>0</v>
      </c>
      <c r="BS109" s="263"/>
    </row>
    <row r="110" spans="1:71" ht="24" customHeight="1" outlineLevel="1" x14ac:dyDescent="0.2">
      <c r="A110" s="312"/>
      <c r="B110" s="546" t="s">
        <v>108</v>
      </c>
      <c r="C110" s="547" t="s">
        <v>171</v>
      </c>
      <c r="D110" s="515" t="s">
        <v>109</v>
      </c>
      <c r="E110" s="438" t="s">
        <v>150</v>
      </c>
      <c r="F110" s="414" t="s">
        <v>51</v>
      </c>
      <c r="G110" s="413" t="s">
        <v>50</v>
      </c>
      <c r="H110" s="511" t="s">
        <v>214</v>
      </c>
      <c r="I110" s="744" t="s">
        <v>238</v>
      </c>
      <c r="J110" s="407"/>
      <c r="K110" s="408"/>
      <c r="L110" s="513"/>
      <c r="M110" s="433"/>
      <c r="N110" s="264"/>
      <c r="O110" s="515"/>
      <c r="P110" s="264"/>
      <c r="Q110" s="374"/>
      <c r="R110" s="264"/>
      <c r="S110" s="548"/>
      <c r="T110" s="548"/>
      <c r="U110" s="548"/>
      <c r="V110" s="548"/>
      <c r="W110" s="548"/>
      <c r="X110" s="548"/>
      <c r="Y110" s="548"/>
      <c r="Z110" s="548"/>
      <c r="AA110" s="548"/>
      <c r="AB110" s="264"/>
      <c r="AC110" s="515"/>
      <c r="AD110" s="440"/>
      <c r="AE110" s="374"/>
      <c r="AF110" s="263"/>
      <c r="AG110" s="548"/>
      <c r="AH110" s="548"/>
      <c r="AI110" s="548"/>
      <c r="AJ110" s="548"/>
      <c r="AK110" s="548"/>
      <c r="AL110" s="548"/>
      <c r="AM110" s="548"/>
      <c r="AN110" s="548"/>
      <c r="AO110" s="548"/>
      <c r="AP110" s="264"/>
      <c r="AQ110" s="264"/>
      <c r="AR110" s="514" t="s">
        <v>348</v>
      </c>
      <c r="AS110" s="440"/>
      <c r="AT110" s="374">
        <v>0.15</v>
      </c>
      <c r="AU110" s="263"/>
      <c r="AV110" s="419">
        <f>(1+Sensitivity_Term_channels)*(Complex_Process_Effort*(1+PM_Overhead)*$AT110)</f>
        <v>9.9</v>
      </c>
      <c r="AW110" s="419">
        <f>(1+Sensitivity_Term_channels)*(Complex_Process_Effort*(1+PM_Overhead)*$AT110)</f>
        <v>9.9</v>
      </c>
      <c r="AX110" s="419">
        <f>(1+Sensitivity_Term_channels)*(Complex_Process_Effort*(1+PM_Overhead)*$AT110)</f>
        <v>9.9</v>
      </c>
      <c r="AY110" s="419">
        <f>(1+Sensitivity_Term_channels)*(Complex_Process_Effort*(1+PM_Overhead)*$AT110)</f>
        <v>9.9</v>
      </c>
      <c r="AZ110" s="419">
        <f>(1+Sensitivity_Term_channels)*0</f>
        <v>0</v>
      </c>
      <c r="BA110" s="419">
        <f>(1+Sensitivity_Term_channels)*0</f>
        <v>0</v>
      </c>
      <c r="BB110" s="419">
        <f>(1+Sensitivity_Term_channels)*(Complex_Process_Effort*(1+PM_Overhead)*$AT110)*TierC_TierB_ratio</f>
        <v>4.95</v>
      </c>
      <c r="BC110" s="419">
        <f>(1+Sensitivity_Term_channels)*0</f>
        <v>0</v>
      </c>
      <c r="BD110" s="419">
        <f>BB110</f>
        <v>4.95</v>
      </c>
      <c r="BE110" s="264"/>
      <c r="BF110" s="514" t="s">
        <v>348</v>
      </c>
      <c r="BG110" s="440"/>
      <c r="BH110" s="374">
        <v>0.15</v>
      </c>
      <c r="BI110" s="263"/>
      <c r="BJ110" s="419">
        <f>(1+Sensitivity_Term_channels)*(Complex_Process_Effort*(1+PM_Overhead)*$AT110)</f>
        <v>9.9</v>
      </c>
      <c r="BK110" s="419">
        <f>(1+Sensitivity_Term_channels)*(Complex_Process_Effort*(1+PM_Overhead)*$AT110)</f>
        <v>9.9</v>
      </c>
      <c r="BL110" s="419">
        <f>(1+Sensitivity_Term_channels)*(Complex_Process_Effort*(1+PM_Overhead)*$AT110)</f>
        <v>9.9</v>
      </c>
      <c r="BM110" s="419">
        <f>(1+Sensitivity_Term_channels)*(Complex_Process_Effort*(1+PM_Overhead)*$AT110)</f>
        <v>9.9</v>
      </c>
      <c r="BN110" s="419">
        <f>(1+Sensitivity_Term_channels)*0</f>
        <v>0</v>
      </c>
      <c r="BO110" s="419">
        <f>(1+Sensitivity_Term_channels)*0</f>
        <v>0</v>
      </c>
      <c r="BP110" s="419">
        <f>(1+Sensitivity_Term_channels)*(Complex_Process_Effort*(1+PM_Overhead)*$AT110)*TierC_TierB_ratio</f>
        <v>4.95</v>
      </c>
      <c r="BQ110" s="419">
        <f>(1+Sensitivity_Term_channels)*0</f>
        <v>0</v>
      </c>
      <c r="BR110" s="419">
        <f>BP110</f>
        <v>4.95</v>
      </c>
      <c r="BS110" s="263"/>
    </row>
    <row r="111" spans="1:71" ht="24" customHeight="1" outlineLevel="1" x14ac:dyDescent="0.2">
      <c r="A111" s="312"/>
      <c r="B111" s="546" t="s">
        <v>108</v>
      </c>
      <c r="C111" s="547" t="s">
        <v>171</v>
      </c>
      <c r="D111" s="515" t="s">
        <v>109</v>
      </c>
      <c r="E111" s="438" t="s">
        <v>150</v>
      </c>
      <c r="F111" s="414" t="s">
        <v>49</v>
      </c>
      <c r="G111" s="413" t="s">
        <v>47</v>
      </c>
      <c r="H111" s="511" t="s">
        <v>118</v>
      </c>
      <c r="I111" s="745"/>
      <c r="J111" s="407"/>
      <c r="K111" s="408"/>
      <c r="L111" s="513"/>
      <c r="M111" s="433"/>
      <c r="N111" s="264"/>
      <c r="O111" s="515"/>
      <c r="P111" s="264"/>
      <c r="Q111" s="264"/>
      <c r="R111" s="264"/>
      <c r="S111" s="549"/>
      <c r="T111" s="549"/>
      <c r="U111" s="549"/>
      <c r="V111" s="549"/>
      <c r="W111" s="549"/>
      <c r="X111" s="549"/>
      <c r="Y111" s="549"/>
      <c r="Z111" s="549"/>
      <c r="AA111" s="549"/>
      <c r="AB111" s="264"/>
      <c r="AC111" s="515"/>
      <c r="AD111" s="440"/>
      <c r="AE111" s="264"/>
      <c r="AF111" s="263"/>
      <c r="AG111" s="549"/>
      <c r="AH111" s="549"/>
      <c r="AI111" s="549"/>
      <c r="AJ111" s="549"/>
      <c r="AK111" s="549"/>
      <c r="AL111" s="549"/>
      <c r="AM111" s="549"/>
      <c r="AN111" s="549"/>
      <c r="AO111" s="549"/>
      <c r="AP111" s="264"/>
      <c r="AQ111" s="264"/>
      <c r="AR111" s="515"/>
      <c r="AS111" s="440"/>
      <c r="AT111" s="264"/>
      <c r="AU111" s="263"/>
      <c r="AV111" s="374">
        <v>0.2</v>
      </c>
      <c r="AW111" s="374">
        <v>0.2</v>
      </c>
      <c r="AX111" s="374">
        <v>0.2</v>
      </c>
      <c r="AY111" s="374">
        <v>0.2</v>
      </c>
      <c r="AZ111" s="374">
        <v>0.2</v>
      </c>
      <c r="BA111" s="374">
        <v>0.2</v>
      </c>
      <c r="BB111" s="374">
        <v>0.2</v>
      </c>
      <c r="BC111" s="374">
        <v>0.2</v>
      </c>
      <c r="BD111" s="374">
        <v>0.2</v>
      </c>
      <c r="BE111" s="264"/>
      <c r="BF111" s="515"/>
      <c r="BG111" s="440"/>
      <c r="BH111" s="264"/>
      <c r="BI111" s="263"/>
      <c r="BJ111" s="374">
        <v>0.2</v>
      </c>
      <c r="BK111" s="374">
        <v>0.2</v>
      </c>
      <c r="BL111" s="374">
        <v>0.2</v>
      </c>
      <c r="BM111" s="374">
        <v>0.2</v>
      </c>
      <c r="BN111" s="374">
        <v>0.2</v>
      </c>
      <c r="BO111" s="374">
        <v>0.2</v>
      </c>
      <c r="BP111" s="374">
        <v>0.2</v>
      </c>
      <c r="BQ111" s="374">
        <v>0.2</v>
      </c>
      <c r="BR111" s="374">
        <v>0.2</v>
      </c>
      <c r="BS111" s="263"/>
    </row>
    <row r="112" spans="1:71" ht="24" customHeight="1" outlineLevel="1" x14ac:dyDescent="0.2">
      <c r="A112" s="312"/>
      <c r="B112" s="546" t="s">
        <v>108</v>
      </c>
      <c r="C112" s="547" t="s">
        <v>171</v>
      </c>
      <c r="D112" s="515" t="s">
        <v>109</v>
      </c>
      <c r="E112" s="438" t="s">
        <v>150</v>
      </c>
      <c r="F112" s="414" t="s">
        <v>51</v>
      </c>
      <c r="G112" s="413" t="s">
        <v>50</v>
      </c>
      <c r="H112" s="511" t="s">
        <v>117</v>
      </c>
      <c r="I112" s="745"/>
      <c r="J112" s="407"/>
      <c r="K112" s="408"/>
      <c r="L112" s="513"/>
      <c r="M112" s="433"/>
      <c r="N112" s="264"/>
      <c r="O112" s="515"/>
      <c r="P112" s="264"/>
      <c r="Q112" s="374"/>
      <c r="R112" s="264"/>
      <c r="S112" s="548"/>
      <c r="T112" s="548"/>
      <c r="U112" s="548"/>
      <c r="V112" s="548"/>
      <c r="W112" s="548"/>
      <c r="X112" s="548"/>
      <c r="Y112" s="548"/>
      <c r="Z112" s="548"/>
      <c r="AA112" s="548"/>
      <c r="AB112" s="264"/>
      <c r="AC112" s="515"/>
      <c r="AD112" s="440"/>
      <c r="AE112" s="374"/>
      <c r="AF112" s="263"/>
      <c r="AG112" s="548"/>
      <c r="AH112" s="548"/>
      <c r="AI112" s="548"/>
      <c r="AJ112" s="548"/>
      <c r="AK112" s="548"/>
      <c r="AL112" s="548"/>
      <c r="AM112" s="548"/>
      <c r="AN112" s="548"/>
      <c r="AO112" s="548"/>
      <c r="AP112" s="264"/>
      <c r="AQ112" s="264"/>
      <c r="AR112" s="515"/>
      <c r="AS112" s="440"/>
      <c r="AT112" s="374">
        <v>0.25</v>
      </c>
      <c r="AU112" s="263"/>
      <c r="AV112" s="419">
        <f>(1+Sensitivity_Term_channels)*Training_Duration*$AT112</f>
        <v>0.5</v>
      </c>
      <c r="AW112" s="419">
        <f>(1+Sensitivity_Term_channels)*Training_Duration*$AT112</f>
        <v>0.5</v>
      </c>
      <c r="AX112" s="419">
        <f>(1+Sensitivity_Term_channels)*Training_Duration*$AT112</f>
        <v>0.5</v>
      </c>
      <c r="AY112" s="419">
        <f>(1+Sensitivity_Term_channels)*Training_Duration*$AT112</f>
        <v>0.5</v>
      </c>
      <c r="AZ112" s="419">
        <f>(1+Sensitivity_Term_channels)*0</f>
        <v>0</v>
      </c>
      <c r="BA112" s="419">
        <f>(1+Sensitivity_Term_channels)*0</f>
        <v>0</v>
      </c>
      <c r="BB112" s="419">
        <f>(1+Sensitivity_Term_channels)*Training_Duration*$AT112</f>
        <v>0.5</v>
      </c>
      <c r="BC112" s="419">
        <f>(1+Sensitivity_Term_channels)*Training_Duration*$AT112</f>
        <v>0.5</v>
      </c>
      <c r="BD112" s="419">
        <f>(1+Sensitivity_Term_channels)*0</f>
        <v>0</v>
      </c>
      <c r="BE112" s="264"/>
      <c r="BF112" s="515"/>
      <c r="BG112" s="440"/>
      <c r="BH112" s="374">
        <v>0.25</v>
      </c>
      <c r="BI112" s="263"/>
      <c r="BJ112" s="419">
        <f>(1+Sensitivity_Term_channels)*Training_Duration*$AT112</f>
        <v>0.5</v>
      </c>
      <c r="BK112" s="419">
        <f>(1+Sensitivity_Term_channels)*Training_Duration*$AT112</f>
        <v>0.5</v>
      </c>
      <c r="BL112" s="419">
        <f>(1+Sensitivity_Term_channels)*Training_Duration*$AT112</f>
        <v>0.5</v>
      </c>
      <c r="BM112" s="419">
        <f>(1+Sensitivity_Term_channels)*Training_Duration*$AT112</f>
        <v>0.5</v>
      </c>
      <c r="BN112" s="419">
        <f>(1+Sensitivity_Term_channels)*0</f>
        <v>0</v>
      </c>
      <c r="BO112" s="419">
        <f>(1+Sensitivity_Term_channels)*0</f>
        <v>0</v>
      </c>
      <c r="BP112" s="419">
        <f>(1+Sensitivity_Term_channels)*Training_Duration*$AT112</f>
        <v>0.5</v>
      </c>
      <c r="BQ112" s="419">
        <f>(1+Sensitivity_Term_channels)*Training_Duration*$AT112</f>
        <v>0.5</v>
      </c>
      <c r="BR112" s="419">
        <f>(1+Sensitivity_Term_channels)*0</f>
        <v>0</v>
      </c>
      <c r="BS112" s="263"/>
    </row>
    <row r="113" spans="1:71" ht="24" customHeight="1" outlineLevel="1" x14ac:dyDescent="0.2">
      <c r="A113" s="312"/>
      <c r="B113" s="546" t="s">
        <v>108</v>
      </c>
      <c r="C113" s="547" t="s">
        <v>171</v>
      </c>
      <c r="D113" s="515" t="s">
        <v>109</v>
      </c>
      <c r="E113" s="438" t="s">
        <v>150</v>
      </c>
      <c r="F113" s="414" t="s">
        <v>48</v>
      </c>
      <c r="G113" s="413" t="s">
        <v>50</v>
      </c>
      <c r="H113" s="511" t="s">
        <v>155</v>
      </c>
      <c r="I113" s="746"/>
      <c r="J113" s="407"/>
      <c r="K113" s="408"/>
      <c r="L113" s="513"/>
      <c r="M113" s="433"/>
      <c r="N113" s="264"/>
      <c r="O113" s="515"/>
      <c r="P113" s="264"/>
      <c r="Q113" s="264"/>
      <c r="R113" s="264"/>
      <c r="S113" s="548"/>
      <c r="T113" s="548"/>
      <c r="U113" s="548"/>
      <c r="V113" s="548"/>
      <c r="W113" s="548"/>
      <c r="X113" s="548"/>
      <c r="Y113" s="548"/>
      <c r="Z113" s="548"/>
      <c r="AA113" s="548"/>
      <c r="AB113" s="264"/>
      <c r="AC113" s="515"/>
      <c r="AD113" s="440"/>
      <c r="AE113" s="264"/>
      <c r="AF113" s="263"/>
      <c r="AG113" s="548"/>
      <c r="AH113" s="548"/>
      <c r="AI113" s="548"/>
      <c r="AJ113" s="548"/>
      <c r="AK113" s="548"/>
      <c r="AL113" s="548"/>
      <c r="AM113" s="548"/>
      <c r="AN113" s="548"/>
      <c r="AO113" s="548"/>
      <c r="AP113" s="264"/>
      <c r="AQ113" s="264"/>
      <c r="AR113" s="515" t="s">
        <v>218</v>
      </c>
      <c r="AS113" s="440"/>
      <c r="AT113" s="264"/>
      <c r="AU113" s="263"/>
      <c r="AV113" s="419">
        <v>0</v>
      </c>
      <c r="AW113" s="419">
        <v>0</v>
      </c>
      <c r="AX113" s="419">
        <v>0</v>
      </c>
      <c r="AY113" s="419">
        <v>0</v>
      </c>
      <c r="AZ113" s="419">
        <v>0</v>
      </c>
      <c r="BA113" s="419">
        <v>0</v>
      </c>
      <c r="BB113" s="419">
        <v>0</v>
      </c>
      <c r="BC113" s="419">
        <v>0</v>
      </c>
      <c r="BD113" s="419">
        <v>0</v>
      </c>
      <c r="BE113" s="264"/>
      <c r="BF113" s="515" t="s">
        <v>218</v>
      </c>
      <c r="BG113" s="440"/>
      <c r="BH113" s="264"/>
      <c r="BI113" s="263"/>
      <c r="BJ113" s="419">
        <v>0</v>
      </c>
      <c r="BK113" s="419">
        <v>0</v>
      </c>
      <c r="BL113" s="419">
        <v>0</v>
      </c>
      <c r="BM113" s="419">
        <v>0</v>
      </c>
      <c r="BN113" s="419">
        <v>0</v>
      </c>
      <c r="BO113" s="419">
        <v>0</v>
      </c>
      <c r="BP113" s="419">
        <v>0</v>
      </c>
      <c r="BQ113" s="419">
        <v>0</v>
      </c>
      <c r="BR113" s="419">
        <v>0</v>
      </c>
      <c r="BS113" s="263"/>
    </row>
    <row r="114" spans="1:71" ht="24" customHeight="1" outlineLevel="1" x14ac:dyDescent="0.2">
      <c r="A114" s="312"/>
      <c r="B114" s="546"/>
      <c r="C114" s="547"/>
      <c r="D114" s="432" t="s">
        <v>109</v>
      </c>
      <c r="E114" s="441" t="s">
        <v>166</v>
      </c>
      <c r="F114" s="433" t="s">
        <v>51</v>
      </c>
      <c r="G114" s="426" t="s">
        <v>50</v>
      </c>
      <c r="H114" s="517" t="s">
        <v>214</v>
      </c>
      <c r="I114" s="741" t="s">
        <v>240</v>
      </c>
      <c r="J114" s="407"/>
      <c r="K114" s="408"/>
      <c r="L114" s="513"/>
      <c r="M114" s="442"/>
      <c r="N114" s="264"/>
      <c r="O114" s="553"/>
      <c r="P114" s="264"/>
      <c r="Q114" s="264"/>
      <c r="R114" s="264"/>
      <c r="S114" s="548"/>
      <c r="T114" s="548"/>
      <c r="U114" s="548"/>
      <c r="V114" s="548"/>
      <c r="W114" s="548"/>
      <c r="X114" s="548"/>
      <c r="Y114" s="548"/>
      <c r="Z114" s="548"/>
      <c r="AA114" s="548"/>
      <c r="AB114" s="264"/>
      <c r="AC114" s="515"/>
      <c r="AD114" s="440"/>
      <c r="AE114" s="264"/>
      <c r="AF114" s="263"/>
      <c r="AG114" s="548"/>
      <c r="AH114" s="548"/>
      <c r="AI114" s="548"/>
      <c r="AJ114" s="548"/>
      <c r="AK114" s="548"/>
      <c r="AL114" s="548"/>
      <c r="AM114" s="548"/>
      <c r="AN114" s="548"/>
      <c r="AO114" s="548"/>
      <c r="AP114" s="264"/>
      <c r="AQ114" s="264"/>
      <c r="AR114" s="519" t="s">
        <v>348</v>
      </c>
      <c r="AS114" s="440"/>
      <c r="AT114" s="374">
        <v>0.3</v>
      </c>
      <c r="AU114" s="263"/>
      <c r="AV114" s="419">
        <f>(1+Sensitivity_Term_channels)*(Complex_Process_Effort*(1+PM_Overhead)*$AT114)</f>
        <v>19.8</v>
      </c>
      <c r="AW114" s="419">
        <f>(1+Sensitivity_Term_channels)*(Complex_Process_Effort*(1+PM_Overhead)*$AT114)</f>
        <v>19.8</v>
      </c>
      <c r="AX114" s="419">
        <f>(1+Sensitivity_Term_channels)*(Complex_Process_Effort*(1+PM_Overhead)*$AT114)</f>
        <v>19.8</v>
      </c>
      <c r="AY114" s="419">
        <f>(1+Sensitivity_Term_channels)*(Complex_Process_Effort*(1+PM_Overhead)*$AT114)</f>
        <v>19.8</v>
      </c>
      <c r="AZ114" s="419">
        <f>(1+Sensitivity_Term_channels)*0</f>
        <v>0</v>
      </c>
      <c r="BA114" s="419">
        <f>(1+Sensitivity_Term_channels)*0</f>
        <v>0</v>
      </c>
      <c r="BB114" s="419">
        <f>(1+Sensitivity_Term_channels)*(Complex_Process_Effort*(1+PM_Overhead)*$AT114)*TierC_TierB_ratio</f>
        <v>9.9</v>
      </c>
      <c r="BC114" s="419">
        <f>(1+Sensitivity_Term_channels)*0</f>
        <v>0</v>
      </c>
      <c r="BD114" s="419">
        <f>BB114</f>
        <v>9.9</v>
      </c>
      <c r="BE114" s="264"/>
      <c r="BF114" s="515"/>
      <c r="BG114" s="440"/>
      <c r="BH114" s="374">
        <v>0.3</v>
      </c>
      <c r="BI114" s="263"/>
      <c r="BJ114" s="419">
        <f>(1+Sensitivity_Term_channels)*(Complex_Process_Effort*(1+PM_Overhead)*$AT114)</f>
        <v>19.8</v>
      </c>
      <c r="BK114" s="419">
        <f>(1+Sensitivity_Term_channels)*(Complex_Process_Effort*(1+PM_Overhead)*$AT114)</f>
        <v>19.8</v>
      </c>
      <c r="BL114" s="419">
        <f>(1+Sensitivity_Term_channels)*(Complex_Process_Effort*(1+PM_Overhead)*$AT114)</f>
        <v>19.8</v>
      </c>
      <c r="BM114" s="419">
        <f>(1+Sensitivity_Term_channels)*(Complex_Process_Effort*(1+PM_Overhead)*$AT114)</f>
        <v>19.8</v>
      </c>
      <c r="BN114" s="419">
        <f>(1+Sensitivity_Term_channels)*0</f>
        <v>0</v>
      </c>
      <c r="BO114" s="419">
        <f>(1+Sensitivity_Term_channels)*0</f>
        <v>0</v>
      </c>
      <c r="BP114" s="419">
        <f>(1+Sensitivity_Term_channels)*(Complex_Process_Effort*(1+PM_Overhead)*$AT114)*TierC_TierB_ratio</f>
        <v>9.9</v>
      </c>
      <c r="BQ114" s="419">
        <f>(1+Sensitivity_Term_channels)*0</f>
        <v>0</v>
      </c>
      <c r="BR114" s="419">
        <f>BP114</f>
        <v>9.9</v>
      </c>
      <c r="BS114" s="263"/>
    </row>
    <row r="115" spans="1:71" ht="24" customHeight="1" outlineLevel="1" x14ac:dyDescent="0.2">
      <c r="A115" s="312"/>
      <c r="B115" s="546"/>
      <c r="C115" s="547"/>
      <c r="D115" s="432" t="s">
        <v>109</v>
      </c>
      <c r="E115" s="441" t="s">
        <v>166</v>
      </c>
      <c r="F115" s="433" t="s">
        <v>49</v>
      </c>
      <c r="G115" s="426" t="s">
        <v>50</v>
      </c>
      <c r="H115" s="517" t="s">
        <v>118</v>
      </c>
      <c r="I115" s="742"/>
      <c r="J115" s="407"/>
      <c r="K115" s="408"/>
      <c r="L115" s="513"/>
      <c r="M115" s="433"/>
      <c r="N115" s="264"/>
      <c r="O115" s="426"/>
      <c r="P115" s="264"/>
      <c r="Q115" s="264"/>
      <c r="R115" s="264"/>
      <c r="S115" s="548"/>
      <c r="T115" s="548"/>
      <c r="U115" s="548"/>
      <c r="V115" s="548"/>
      <c r="W115" s="548"/>
      <c r="X115" s="548"/>
      <c r="Y115" s="548"/>
      <c r="Z115" s="548"/>
      <c r="AA115" s="548"/>
      <c r="AB115" s="264"/>
      <c r="AC115" s="515"/>
      <c r="AD115" s="440"/>
      <c r="AE115" s="264"/>
      <c r="AF115" s="263"/>
      <c r="AG115" s="548"/>
      <c r="AH115" s="548"/>
      <c r="AI115" s="548"/>
      <c r="AJ115" s="548"/>
      <c r="AK115" s="548"/>
      <c r="AL115" s="548"/>
      <c r="AM115" s="548"/>
      <c r="AN115" s="548"/>
      <c r="AO115" s="548"/>
      <c r="AP115" s="264"/>
      <c r="AQ115" s="264"/>
      <c r="AR115" s="432"/>
      <c r="AS115" s="440"/>
      <c r="AT115" s="264"/>
      <c r="AU115" s="263"/>
      <c r="AV115" s="374">
        <v>0.2</v>
      </c>
      <c r="AW115" s="374">
        <v>0.2</v>
      </c>
      <c r="AX115" s="374">
        <v>0.2</v>
      </c>
      <c r="AY115" s="374">
        <v>0.2</v>
      </c>
      <c r="AZ115" s="374">
        <v>0.2</v>
      </c>
      <c r="BA115" s="374">
        <v>0.2</v>
      </c>
      <c r="BB115" s="374">
        <v>0.2</v>
      </c>
      <c r="BC115" s="374">
        <v>0.2</v>
      </c>
      <c r="BD115" s="374">
        <v>0.2</v>
      </c>
      <c r="BE115" s="264"/>
      <c r="BF115" s="515"/>
      <c r="BG115" s="440"/>
      <c r="BH115" s="264"/>
      <c r="BI115" s="263"/>
      <c r="BJ115" s="374">
        <v>0.2</v>
      </c>
      <c r="BK115" s="374">
        <v>0.2</v>
      </c>
      <c r="BL115" s="374">
        <v>0.2</v>
      </c>
      <c r="BM115" s="374">
        <v>0.2</v>
      </c>
      <c r="BN115" s="374">
        <v>0.2</v>
      </c>
      <c r="BO115" s="374">
        <v>0.2</v>
      </c>
      <c r="BP115" s="374">
        <v>0.2</v>
      </c>
      <c r="BQ115" s="374">
        <v>0.2</v>
      </c>
      <c r="BR115" s="374">
        <v>0.2</v>
      </c>
      <c r="BS115" s="263"/>
    </row>
    <row r="116" spans="1:71" ht="24" customHeight="1" outlineLevel="1" x14ac:dyDescent="0.2">
      <c r="A116" s="312"/>
      <c r="B116" s="546"/>
      <c r="C116" s="547"/>
      <c r="D116" s="432" t="s">
        <v>109</v>
      </c>
      <c r="E116" s="441" t="s">
        <v>166</v>
      </c>
      <c r="F116" s="433" t="s">
        <v>51</v>
      </c>
      <c r="G116" s="426" t="s">
        <v>50</v>
      </c>
      <c r="H116" s="517" t="s">
        <v>117</v>
      </c>
      <c r="I116" s="742"/>
      <c r="J116" s="407"/>
      <c r="K116" s="408"/>
      <c r="L116" s="513"/>
      <c r="M116" s="442"/>
      <c r="N116" s="264"/>
      <c r="O116" s="555"/>
      <c r="P116" s="264"/>
      <c r="Q116" s="264"/>
      <c r="R116" s="264"/>
      <c r="S116" s="548"/>
      <c r="T116" s="548"/>
      <c r="U116" s="548"/>
      <c r="V116" s="548"/>
      <c r="W116" s="548"/>
      <c r="X116" s="548"/>
      <c r="Y116" s="548"/>
      <c r="Z116" s="548"/>
      <c r="AA116" s="548"/>
      <c r="AB116" s="264"/>
      <c r="AC116" s="515"/>
      <c r="AD116" s="440"/>
      <c r="AE116" s="264"/>
      <c r="AF116" s="263"/>
      <c r="AG116" s="548"/>
      <c r="AH116" s="548"/>
      <c r="AI116" s="548"/>
      <c r="AJ116" s="548"/>
      <c r="AK116" s="548"/>
      <c r="AL116" s="548"/>
      <c r="AM116" s="548"/>
      <c r="AN116" s="548"/>
      <c r="AO116" s="548"/>
      <c r="AP116" s="264"/>
      <c r="AQ116" s="264"/>
      <c r="AR116" s="432"/>
      <c r="AS116" s="440"/>
      <c r="AT116" s="374">
        <v>0</v>
      </c>
      <c r="AU116" s="158"/>
      <c r="AV116" s="419">
        <f t="shared" ref="AV116:BD116" si="148">(1+Sensitivity_Term_channels)*Training_Duration*$AT116</f>
        <v>0</v>
      </c>
      <c r="AW116" s="419">
        <f t="shared" si="148"/>
        <v>0</v>
      </c>
      <c r="AX116" s="419">
        <f t="shared" si="148"/>
        <v>0</v>
      </c>
      <c r="AY116" s="419">
        <f t="shared" si="148"/>
        <v>0</v>
      </c>
      <c r="AZ116" s="419">
        <f t="shared" si="148"/>
        <v>0</v>
      </c>
      <c r="BA116" s="419">
        <f t="shared" si="148"/>
        <v>0</v>
      </c>
      <c r="BB116" s="419">
        <f t="shared" si="148"/>
        <v>0</v>
      </c>
      <c r="BC116" s="419">
        <f t="shared" si="148"/>
        <v>0</v>
      </c>
      <c r="BD116" s="419">
        <f t="shared" si="148"/>
        <v>0</v>
      </c>
      <c r="BE116" s="264"/>
      <c r="BF116" s="515"/>
      <c r="BG116" s="440"/>
      <c r="BH116" s="374">
        <v>0</v>
      </c>
      <c r="BI116" s="263"/>
      <c r="BJ116" s="419">
        <f t="shared" ref="BJ116:BR116" si="149">(1+Sensitivity_Term_channels)*Training_Duration*$AT116</f>
        <v>0</v>
      </c>
      <c r="BK116" s="419">
        <f t="shared" si="149"/>
        <v>0</v>
      </c>
      <c r="BL116" s="419">
        <f t="shared" si="149"/>
        <v>0</v>
      </c>
      <c r="BM116" s="419">
        <f t="shared" si="149"/>
        <v>0</v>
      </c>
      <c r="BN116" s="419">
        <f t="shared" si="149"/>
        <v>0</v>
      </c>
      <c r="BO116" s="419">
        <f t="shared" si="149"/>
        <v>0</v>
      </c>
      <c r="BP116" s="419">
        <f t="shared" si="149"/>
        <v>0</v>
      </c>
      <c r="BQ116" s="419">
        <f t="shared" si="149"/>
        <v>0</v>
      </c>
      <c r="BR116" s="419">
        <f t="shared" si="149"/>
        <v>0</v>
      </c>
      <c r="BS116" s="263"/>
    </row>
    <row r="117" spans="1:71" ht="24" customHeight="1" outlineLevel="1" x14ac:dyDescent="0.2">
      <c r="A117" s="312"/>
      <c r="B117" s="546"/>
      <c r="C117" s="547"/>
      <c r="D117" s="432" t="s">
        <v>109</v>
      </c>
      <c r="E117" s="441" t="s">
        <v>166</v>
      </c>
      <c r="F117" s="433" t="s">
        <v>48</v>
      </c>
      <c r="G117" s="426" t="s">
        <v>47</v>
      </c>
      <c r="H117" s="517" t="s">
        <v>167</v>
      </c>
      <c r="I117" s="743"/>
      <c r="J117" s="407"/>
      <c r="K117" s="408"/>
      <c r="L117" s="513"/>
      <c r="M117" s="433"/>
      <c r="N117" s="264"/>
      <c r="O117" s="426"/>
      <c r="P117" s="264"/>
      <c r="Q117" s="264"/>
      <c r="R117" s="264"/>
      <c r="S117" s="548"/>
      <c r="T117" s="548"/>
      <c r="U117" s="548"/>
      <c r="V117" s="548"/>
      <c r="W117" s="548"/>
      <c r="X117" s="548"/>
      <c r="Y117" s="548"/>
      <c r="Z117" s="548"/>
      <c r="AA117" s="548"/>
      <c r="AB117" s="264"/>
      <c r="AC117" s="515"/>
      <c r="AD117" s="440"/>
      <c r="AE117" s="264"/>
      <c r="AF117" s="263"/>
      <c r="AG117" s="548"/>
      <c r="AH117" s="548"/>
      <c r="AI117" s="548"/>
      <c r="AJ117" s="548"/>
      <c r="AK117" s="548"/>
      <c r="AL117" s="548"/>
      <c r="AM117" s="548"/>
      <c r="AN117" s="548"/>
      <c r="AO117" s="548"/>
      <c r="AP117" s="264"/>
      <c r="AQ117" s="264"/>
      <c r="AR117" s="432" t="s">
        <v>218</v>
      </c>
      <c r="AS117" s="440"/>
      <c r="AT117" s="264"/>
      <c r="AU117" s="263"/>
      <c r="AV117" s="419">
        <v>0</v>
      </c>
      <c r="AW117" s="419">
        <v>0</v>
      </c>
      <c r="AX117" s="419">
        <v>0</v>
      </c>
      <c r="AY117" s="419">
        <v>0</v>
      </c>
      <c r="AZ117" s="419">
        <v>0</v>
      </c>
      <c r="BA117" s="419">
        <v>0</v>
      </c>
      <c r="BB117" s="419">
        <v>0</v>
      </c>
      <c r="BC117" s="419">
        <v>0</v>
      </c>
      <c r="BD117" s="419">
        <v>0</v>
      </c>
      <c r="BE117" s="264"/>
      <c r="BF117" s="515"/>
      <c r="BG117" s="440"/>
      <c r="BH117" s="264"/>
      <c r="BI117" s="263"/>
      <c r="BJ117" s="419">
        <v>0</v>
      </c>
      <c r="BK117" s="419">
        <v>0</v>
      </c>
      <c r="BL117" s="419">
        <v>0</v>
      </c>
      <c r="BM117" s="419">
        <v>0</v>
      </c>
      <c r="BN117" s="419">
        <v>0</v>
      </c>
      <c r="BO117" s="419">
        <v>0</v>
      </c>
      <c r="BP117" s="419">
        <v>0</v>
      </c>
      <c r="BQ117" s="419">
        <v>0</v>
      </c>
      <c r="BR117" s="419">
        <v>0</v>
      </c>
      <c r="BS117" s="263"/>
    </row>
    <row r="118" spans="1:71" ht="24" customHeight="1" outlineLevel="1" x14ac:dyDescent="0.2">
      <c r="A118" s="312"/>
      <c r="B118" s="437" t="s">
        <v>108</v>
      </c>
      <c r="C118" s="171" t="s">
        <v>171</v>
      </c>
      <c r="D118" s="515" t="s">
        <v>109</v>
      </c>
      <c r="E118" s="515" t="s">
        <v>139</v>
      </c>
      <c r="F118" s="515" t="s">
        <v>51</v>
      </c>
      <c r="G118" s="515" t="s">
        <v>50</v>
      </c>
      <c r="H118" s="515" t="s">
        <v>214</v>
      </c>
      <c r="I118" s="744" t="s">
        <v>239</v>
      </c>
      <c r="J118" s="436"/>
      <c r="K118" s="408"/>
      <c r="L118" s="513"/>
      <c r="M118" s="422"/>
      <c r="N118" s="264"/>
      <c r="O118" s="515"/>
      <c r="P118" s="264"/>
      <c r="Q118" s="374"/>
      <c r="R118" s="264"/>
      <c r="S118" s="548"/>
      <c r="T118" s="548"/>
      <c r="U118" s="548"/>
      <c r="V118" s="548"/>
      <c r="W118" s="548"/>
      <c r="X118" s="548"/>
      <c r="Y118" s="548"/>
      <c r="Z118" s="548"/>
      <c r="AA118" s="548"/>
      <c r="AB118" s="264"/>
      <c r="AC118" s="553"/>
      <c r="AD118" s="467"/>
      <c r="AE118" s="374"/>
      <c r="AF118" s="263"/>
      <c r="AG118" s="548"/>
      <c r="AH118" s="548"/>
      <c r="AI118" s="548"/>
      <c r="AJ118" s="548"/>
      <c r="AK118" s="548"/>
      <c r="AL118" s="548"/>
      <c r="AM118" s="548"/>
      <c r="AN118" s="548"/>
      <c r="AO118" s="548"/>
      <c r="AP118" s="264"/>
      <c r="AQ118" s="264"/>
      <c r="AR118" s="556" t="s">
        <v>348</v>
      </c>
      <c r="AS118" s="467"/>
      <c r="AT118" s="374">
        <v>0.15</v>
      </c>
      <c r="AU118" s="263"/>
      <c r="AV118" s="419">
        <f>(1+Sensitivity_Term_channels)*(Complex_Process_Effort*(1+PM_Overhead)*$AT118)</f>
        <v>9.9</v>
      </c>
      <c r="AW118" s="419">
        <f>(1+Sensitivity_Term_channels)*(Complex_Process_Effort*(1+PM_Overhead)*$AT118)</f>
        <v>9.9</v>
      </c>
      <c r="AX118" s="419">
        <f>(1+Sensitivity_Term_channels)*(Complex_Process_Effort*(1+PM_Overhead)*$AT118)</f>
        <v>9.9</v>
      </c>
      <c r="AY118" s="419">
        <f>(1+Sensitivity_Term_channels)*(Complex_Process_Effort*(1+PM_Overhead)*$AT118)</f>
        <v>9.9</v>
      </c>
      <c r="AZ118" s="419">
        <f>(1+Sensitivity_Term_channels)*0</f>
        <v>0</v>
      </c>
      <c r="BA118" s="419">
        <f>(1+Sensitivity_Term_channels)*0</f>
        <v>0</v>
      </c>
      <c r="BB118" s="419">
        <f>(1+Sensitivity_Term_channels)*(Complex_Process_Effort*(1+PM_Overhead)*$AT118)*TierC_TierB_ratio</f>
        <v>4.95</v>
      </c>
      <c r="BC118" s="419">
        <f>(1+Sensitivity_Term_channels)*0</f>
        <v>0</v>
      </c>
      <c r="BD118" s="419">
        <f>BB118</f>
        <v>4.95</v>
      </c>
      <c r="BE118" s="264"/>
      <c r="BF118" s="553" t="s">
        <v>348</v>
      </c>
      <c r="BG118" s="467"/>
      <c r="BH118" s="374">
        <v>0.15</v>
      </c>
      <c r="BI118" s="263"/>
      <c r="BJ118" s="419">
        <f>(1+Sensitivity_Term_channels)*(Complex_Process_Effort*(1+PM_Overhead)*$AT118)</f>
        <v>9.9</v>
      </c>
      <c r="BK118" s="419">
        <f>(1+Sensitivity_Term_channels)*(Complex_Process_Effort*(1+PM_Overhead)*$AT118)</f>
        <v>9.9</v>
      </c>
      <c r="BL118" s="419">
        <f>(1+Sensitivity_Term_channels)*(Complex_Process_Effort*(1+PM_Overhead)*$AT118)</f>
        <v>9.9</v>
      </c>
      <c r="BM118" s="419">
        <f>(1+Sensitivity_Term_channels)*(Complex_Process_Effort*(1+PM_Overhead)*$AT118)</f>
        <v>9.9</v>
      </c>
      <c r="BN118" s="419">
        <f>(1+Sensitivity_Term_channels)*0</f>
        <v>0</v>
      </c>
      <c r="BO118" s="419">
        <f>(1+Sensitivity_Term_channels)*0</f>
        <v>0</v>
      </c>
      <c r="BP118" s="419">
        <f>(1+Sensitivity_Term_channels)*(Complex_Process_Effort*(1+PM_Overhead)*$AT118)*TierC_TierB_ratio</f>
        <v>4.95</v>
      </c>
      <c r="BQ118" s="419">
        <f>(1+Sensitivity_Term_channels)*0</f>
        <v>0</v>
      </c>
      <c r="BR118" s="419">
        <f>BP118</f>
        <v>4.95</v>
      </c>
      <c r="BS118" s="263"/>
    </row>
    <row r="119" spans="1:71" ht="24" customHeight="1" outlineLevel="1" x14ac:dyDescent="0.2">
      <c r="A119" s="312"/>
      <c r="B119" s="437" t="s">
        <v>108</v>
      </c>
      <c r="C119" s="171" t="s">
        <v>171</v>
      </c>
      <c r="D119" s="515" t="s">
        <v>109</v>
      </c>
      <c r="E119" s="515" t="s">
        <v>139</v>
      </c>
      <c r="F119" s="515" t="s">
        <v>49</v>
      </c>
      <c r="G119" s="515" t="s">
        <v>47</v>
      </c>
      <c r="H119" s="515" t="s">
        <v>118</v>
      </c>
      <c r="I119" s="745"/>
      <c r="J119" s="436"/>
      <c r="K119" s="408"/>
      <c r="L119" s="513"/>
      <c r="M119" s="422"/>
      <c r="N119" s="264"/>
      <c r="O119" s="515"/>
      <c r="P119" s="264"/>
      <c r="Q119" s="264"/>
      <c r="R119" s="264"/>
      <c r="S119" s="549"/>
      <c r="T119" s="549"/>
      <c r="U119" s="549"/>
      <c r="V119" s="549"/>
      <c r="W119" s="549"/>
      <c r="X119" s="549"/>
      <c r="Y119" s="549"/>
      <c r="Z119" s="549"/>
      <c r="AA119" s="549"/>
      <c r="AB119" s="264"/>
      <c r="AC119" s="426"/>
      <c r="AD119" s="467"/>
      <c r="AE119" s="264"/>
      <c r="AF119" s="263"/>
      <c r="AG119" s="549"/>
      <c r="AH119" s="549"/>
      <c r="AI119" s="549"/>
      <c r="AJ119" s="549"/>
      <c r="AK119" s="549"/>
      <c r="AL119" s="549"/>
      <c r="AM119" s="549"/>
      <c r="AN119" s="549"/>
      <c r="AO119" s="549"/>
      <c r="AP119" s="264"/>
      <c r="AQ119" s="264"/>
      <c r="AR119" s="557"/>
      <c r="AS119" s="467"/>
      <c r="AT119" s="264"/>
      <c r="AU119" s="263"/>
      <c r="AV119" s="374">
        <v>0.2</v>
      </c>
      <c r="AW119" s="374">
        <v>0.2</v>
      </c>
      <c r="AX119" s="374">
        <v>0.2</v>
      </c>
      <c r="AY119" s="374">
        <v>0.2</v>
      </c>
      <c r="AZ119" s="374">
        <v>0.2</v>
      </c>
      <c r="BA119" s="374">
        <v>0.2</v>
      </c>
      <c r="BB119" s="374">
        <v>0.2</v>
      </c>
      <c r="BC119" s="374">
        <v>0.2</v>
      </c>
      <c r="BD119" s="374">
        <v>0.2</v>
      </c>
      <c r="BE119" s="264"/>
      <c r="BF119" s="426"/>
      <c r="BG119" s="467"/>
      <c r="BH119" s="264"/>
      <c r="BI119" s="263"/>
      <c r="BJ119" s="374">
        <v>0.2</v>
      </c>
      <c r="BK119" s="374">
        <v>0.2</v>
      </c>
      <c r="BL119" s="374">
        <v>0.2</v>
      </c>
      <c r="BM119" s="374">
        <v>0.2</v>
      </c>
      <c r="BN119" s="374">
        <v>0.2</v>
      </c>
      <c r="BO119" s="374">
        <v>0.2</v>
      </c>
      <c r="BP119" s="374">
        <v>0.2</v>
      </c>
      <c r="BQ119" s="374">
        <v>0.2</v>
      </c>
      <c r="BR119" s="374">
        <v>0.2</v>
      </c>
      <c r="BS119" s="263"/>
    </row>
    <row r="120" spans="1:71" ht="24" customHeight="1" outlineLevel="1" x14ac:dyDescent="0.2">
      <c r="A120" s="312"/>
      <c r="B120" s="437" t="s">
        <v>108</v>
      </c>
      <c r="C120" s="171" t="s">
        <v>171</v>
      </c>
      <c r="D120" s="515" t="s">
        <v>109</v>
      </c>
      <c r="E120" s="515" t="s">
        <v>139</v>
      </c>
      <c r="F120" s="515" t="s">
        <v>51</v>
      </c>
      <c r="G120" s="515" t="s">
        <v>50</v>
      </c>
      <c r="H120" s="515" t="s">
        <v>117</v>
      </c>
      <c r="I120" s="745"/>
      <c r="J120" s="435"/>
      <c r="K120" s="408"/>
      <c r="L120" s="513"/>
      <c r="M120" s="558"/>
      <c r="N120" s="264"/>
      <c r="O120" s="515"/>
      <c r="P120" s="264"/>
      <c r="Q120" s="374"/>
      <c r="R120" s="264"/>
      <c r="S120" s="548"/>
      <c r="T120" s="548"/>
      <c r="U120" s="548"/>
      <c r="V120" s="548"/>
      <c r="W120" s="548"/>
      <c r="X120" s="548"/>
      <c r="Y120" s="548"/>
      <c r="Z120" s="548"/>
      <c r="AA120" s="548"/>
      <c r="AB120" s="264"/>
      <c r="AC120" s="555"/>
      <c r="AD120" s="436"/>
      <c r="AE120" s="374"/>
      <c r="AF120" s="263"/>
      <c r="AG120" s="548"/>
      <c r="AH120" s="548"/>
      <c r="AI120" s="548"/>
      <c r="AJ120" s="548"/>
      <c r="AK120" s="548"/>
      <c r="AL120" s="548"/>
      <c r="AM120" s="548"/>
      <c r="AN120" s="548"/>
      <c r="AO120" s="548"/>
      <c r="AP120" s="264"/>
      <c r="AQ120" s="264"/>
      <c r="AR120" s="559"/>
      <c r="AS120" s="436"/>
      <c r="AT120" s="374">
        <v>0</v>
      </c>
      <c r="AU120" s="263"/>
      <c r="AV120" s="419">
        <f t="shared" ref="AV120:BD120" si="150">(1+Sensitivity_Term_channels)*Training_Duration*$AT120</f>
        <v>0</v>
      </c>
      <c r="AW120" s="419">
        <f t="shared" si="150"/>
        <v>0</v>
      </c>
      <c r="AX120" s="419">
        <f t="shared" si="150"/>
        <v>0</v>
      </c>
      <c r="AY120" s="419">
        <f t="shared" si="150"/>
        <v>0</v>
      </c>
      <c r="AZ120" s="419">
        <f t="shared" si="150"/>
        <v>0</v>
      </c>
      <c r="BA120" s="419">
        <f t="shared" si="150"/>
        <v>0</v>
      </c>
      <c r="BB120" s="419">
        <f t="shared" si="150"/>
        <v>0</v>
      </c>
      <c r="BC120" s="419">
        <f t="shared" si="150"/>
        <v>0</v>
      </c>
      <c r="BD120" s="419">
        <f t="shared" si="150"/>
        <v>0</v>
      </c>
      <c r="BE120" s="264"/>
      <c r="BF120" s="555"/>
      <c r="BG120" s="436"/>
      <c r="BH120" s="374">
        <v>0</v>
      </c>
      <c r="BI120" s="263"/>
      <c r="BJ120" s="419">
        <f t="shared" ref="BJ120:BR120" si="151">(1+Sensitivity_Term_channels)*Training_Duration*$AT120</f>
        <v>0</v>
      </c>
      <c r="BK120" s="419">
        <f t="shared" si="151"/>
        <v>0</v>
      </c>
      <c r="BL120" s="419">
        <f t="shared" si="151"/>
        <v>0</v>
      </c>
      <c r="BM120" s="419">
        <f t="shared" si="151"/>
        <v>0</v>
      </c>
      <c r="BN120" s="419">
        <f t="shared" si="151"/>
        <v>0</v>
      </c>
      <c r="BO120" s="419">
        <f t="shared" si="151"/>
        <v>0</v>
      </c>
      <c r="BP120" s="419">
        <f t="shared" si="151"/>
        <v>0</v>
      </c>
      <c r="BQ120" s="419">
        <f t="shared" si="151"/>
        <v>0</v>
      </c>
      <c r="BR120" s="419">
        <f t="shared" si="151"/>
        <v>0</v>
      </c>
      <c r="BS120" s="263"/>
    </row>
    <row r="121" spans="1:71" ht="24" customHeight="1" outlineLevel="1" x14ac:dyDescent="0.2">
      <c r="A121" s="312"/>
      <c r="B121" s="437" t="s">
        <v>108</v>
      </c>
      <c r="C121" s="171" t="s">
        <v>171</v>
      </c>
      <c r="D121" s="515" t="s">
        <v>109</v>
      </c>
      <c r="E121" s="515" t="s">
        <v>139</v>
      </c>
      <c r="F121" s="515" t="s">
        <v>48</v>
      </c>
      <c r="G121" s="515" t="s">
        <v>50</v>
      </c>
      <c r="H121" s="515" t="s">
        <v>153</v>
      </c>
      <c r="I121" s="746"/>
      <c r="J121" s="436"/>
      <c r="K121" s="408"/>
      <c r="L121" s="513"/>
      <c r="M121" s="422"/>
      <c r="N121" s="264"/>
      <c r="O121" s="515"/>
      <c r="P121" s="264"/>
      <c r="Q121" s="264"/>
      <c r="R121" s="264"/>
      <c r="S121" s="548"/>
      <c r="T121" s="548"/>
      <c r="U121" s="548"/>
      <c r="V121" s="548"/>
      <c r="W121" s="548"/>
      <c r="X121" s="548"/>
      <c r="Y121" s="548"/>
      <c r="Z121" s="548"/>
      <c r="AA121" s="548"/>
      <c r="AB121" s="264"/>
      <c r="AC121" s="426"/>
      <c r="AD121" s="467"/>
      <c r="AE121" s="264"/>
      <c r="AF121" s="263"/>
      <c r="AG121" s="548"/>
      <c r="AH121" s="548"/>
      <c r="AI121" s="548"/>
      <c r="AJ121" s="548"/>
      <c r="AK121" s="548"/>
      <c r="AL121" s="548"/>
      <c r="AM121" s="548"/>
      <c r="AN121" s="548"/>
      <c r="AO121" s="548"/>
      <c r="AP121" s="264"/>
      <c r="AQ121" s="264"/>
      <c r="AR121" s="557" t="s">
        <v>218</v>
      </c>
      <c r="AS121" s="467"/>
      <c r="AT121" s="264"/>
      <c r="AU121" s="263"/>
      <c r="AV121" s="419">
        <v>0</v>
      </c>
      <c r="AW121" s="419">
        <v>0</v>
      </c>
      <c r="AX121" s="419">
        <v>0</v>
      </c>
      <c r="AY121" s="419">
        <v>0</v>
      </c>
      <c r="AZ121" s="419">
        <v>0</v>
      </c>
      <c r="BA121" s="419">
        <v>0</v>
      </c>
      <c r="BB121" s="419">
        <v>0</v>
      </c>
      <c r="BC121" s="419">
        <v>0</v>
      </c>
      <c r="BD121" s="419">
        <v>0</v>
      </c>
      <c r="BE121" s="264"/>
      <c r="BF121" s="426" t="s">
        <v>218</v>
      </c>
      <c r="BG121" s="467"/>
      <c r="BH121" s="264"/>
      <c r="BI121" s="263"/>
      <c r="BJ121" s="419">
        <v>0</v>
      </c>
      <c r="BK121" s="419">
        <v>0</v>
      </c>
      <c r="BL121" s="419">
        <v>0</v>
      </c>
      <c r="BM121" s="419">
        <v>0</v>
      </c>
      <c r="BN121" s="419">
        <v>0</v>
      </c>
      <c r="BO121" s="419">
        <v>0</v>
      </c>
      <c r="BP121" s="419">
        <v>0</v>
      </c>
      <c r="BQ121" s="419">
        <v>0</v>
      </c>
      <c r="BR121" s="419">
        <v>0</v>
      </c>
      <c r="BS121" s="263"/>
    </row>
    <row r="122" spans="1:71" s="139" customFormat="1" ht="24" customHeight="1" outlineLevel="1" x14ac:dyDescent="0.2">
      <c r="A122" s="520"/>
      <c r="B122" s="521"/>
      <c r="C122" s="522"/>
      <c r="D122" s="560"/>
      <c r="E122" s="98"/>
      <c r="F122" s="523"/>
      <c r="G122" s="488"/>
      <c r="H122" s="484" t="s">
        <v>205</v>
      </c>
      <c r="I122" s="358"/>
      <c r="J122" s="436"/>
      <c r="K122" s="440"/>
      <c r="L122" s="440"/>
      <c r="M122" s="440"/>
      <c r="N122" s="265"/>
      <c r="O122" s="523"/>
      <c r="P122" s="265"/>
      <c r="Q122" s="265"/>
      <c r="R122" s="265"/>
      <c r="S122" s="561"/>
      <c r="T122" s="561"/>
      <c r="U122" s="561"/>
      <c r="V122" s="561"/>
      <c r="W122" s="561"/>
      <c r="X122" s="561"/>
      <c r="Y122" s="561"/>
      <c r="Z122" s="561"/>
      <c r="AA122" s="561"/>
      <c r="AB122" s="265"/>
      <c r="AC122" s="523"/>
      <c r="AD122" s="440"/>
      <c r="AE122" s="265"/>
      <c r="AF122" s="265"/>
      <c r="AG122" s="561"/>
      <c r="AH122" s="561"/>
      <c r="AI122" s="561"/>
      <c r="AJ122" s="561"/>
      <c r="AK122" s="561"/>
      <c r="AL122" s="561"/>
      <c r="AM122" s="561"/>
      <c r="AN122" s="561"/>
      <c r="AO122" s="561"/>
      <c r="AP122" s="265"/>
      <c r="AQ122" s="265"/>
      <c r="AR122" s="523"/>
      <c r="AS122" s="440"/>
      <c r="AT122" s="527">
        <f>SUMIF($H$102:$H$121,$H$102,AT$102:AT$121)</f>
        <v>1</v>
      </c>
      <c r="AU122" s="265"/>
      <c r="AV122" s="561">
        <f>SUMIF($H$102:$H$121,$H$102,AV$102:AV$121)</f>
        <v>66.000000000000014</v>
      </c>
      <c r="AW122" s="561">
        <f t="shared" ref="AW122:BD122" si="152">SUMIF($H$102:$H$121,$H$102,AW$102:AW$121)</f>
        <v>66.000000000000014</v>
      </c>
      <c r="AX122" s="561">
        <f t="shared" si="152"/>
        <v>66.000000000000014</v>
      </c>
      <c r="AY122" s="561">
        <f t="shared" si="152"/>
        <v>66.000000000000014</v>
      </c>
      <c r="AZ122" s="561">
        <f t="shared" si="152"/>
        <v>0</v>
      </c>
      <c r="BA122" s="561">
        <f t="shared" si="152"/>
        <v>0</v>
      </c>
      <c r="BB122" s="561">
        <f t="shared" si="152"/>
        <v>33.000000000000007</v>
      </c>
      <c r="BC122" s="561">
        <f t="shared" si="152"/>
        <v>0</v>
      </c>
      <c r="BD122" s="561">
        <f t="shared" si="152"/>
        <v>33.000000000000007</v>
      </c>
      <c r="BE122" s="265"/>
      <c r="BF122" s="523"/>
      <c r="BG122" s="440"/>
      <c r="BH122" s="527">
        <f>SUMIF($H$102:$H$121,$H$102,BH$102:BH$121)</f>
        <v>1</v>
      </c>
      <c r="BI122" s="265"/>
      <c r="BJ122" s="561">
        <f>SUMIF($H$102:$H$121,$H$102,BJ$102:BJ$121)</f>
        <v>66.000000000000014</v>
      </c>
      <c r="BK122" s="561">
        <f t="shared" ref="BK122:BR122" si="153">SUMIF($H$102:$H$121,$H$102,BK$102:BK$121)</f>
        <v>66.000000000000014</v>
      </c>
      <c r="BL122" s="561">
        <f t="shared" si="153"/>
        <v>66.000000000000014</v>
      </c>
      <c r="BM122" s="561">
        <f t="shared" si="153"/>
        <v>66.000000000000014</v>
      </c>
      <c r="BN122" s="561">
        <f t="shared" si="153"/>
        <v>0</v>
      </c>
      <c r="BO122" s="561">
        <f t="shared" si="153"/>
        <v>0</v>
      </c>
      <c r="BP122" s="561">
        <f t="shared" si="153"/>
        <v>33.000000000000007</v>
      </c>
      <c r="BQ122" s="561">
        <f t="shared" si="153"/>
        <v>0</v>
      </c>
      <c r="BR122" s="561">
        <f t="shared" si="153"/>
        <v>33.000000000000007</v>
      </c>
      <c r="BS122" s="265"/>
    </row>
    <row r="123" spans="1:71" s="139" customFormat="1" ht="24" customHeight="1" outlineLevel="1" x14ac:dyDescent="0.2">
      <c r="A123" s="520"/>
      <c r="B123" s="521"/>
      <c r="C123" s="522"/>
      <c r="D123" s="560"/>
      <c r="E123" s="98"/>
      <c r="F123" s="523"/>
      <c r="G123" s="488"/>
      <c r="H123" s="484" t="s">
        <v>216</v>
      </c>
      <c r="I123" s="358"/>
      <c r="J123" s="436"/>
      <c r="K123" s="440"/>
      <c r="L123" s="440"/>
      <c r="M123" s="440"/>
      <c r="N123" s="265"/>
      <c r="O123" s="523"/>
      <c r="P123" s="265"/>
      <c r="Q123" s="265"/>
      <c r="R123" s="265"/>
      <c r="S123" s="561"/>
      <c r="T123" s="561"/>
      <c r="U123" s="561"/>
      <c r="V123" s="561"/>
      <c r="W123" s="561"/>
      <c r="X123" s="561"/>
      <c r="Y123" s="561"/>
      <c r="Z123" s="561"/>
      <c r="AA123" s="561"/>
      <c r="AB123" s="265"/>
      <c r="AC123" s="523"/>
      <c r="AD123" s="440"/>
      <c r="AE123" s="265"/>
      <c r="AF123" s="265"/>
      <c r="AG123" s="561"/>
      <c r="AH123" s="561"/>
      <c r="AI123" s="561"/>
      <c r="AJ123" s="561"/>
      <c r="AK123" s="561"/>
      <c r="AL123" s="561"/>
      <c r="AM123" s="561"/>
      <c r="AN123" s="561"/>
      <c r="AO123" s="561"/>
      <c r="AP123" s="265"/>
      <c r="AQ123" s="265"/>
      <c r="AR123" s="523"/>
      <c r="AS123" s="440"/>
      <c r="AT123" s="527">
        <f>SUMIF($H$102:$H$121,$H$104,AT$102:AT$121)</f>
        <v>0.25</v>
      </c>
      <c r="AU123" s="264"/>
      <c r="AV123" s="561">
        <f>SUMIF($H$102:$H$121,$H$104,AV$102:AV$121)</f>
        <v>0.5</v>
      </c>
      <c r="AW123" s="561">
        <f t="shared" ref="AW123:BD123" si="154">SUMIF($H$102:$H$121,$H$104,AW$102:AW$121)</f>
        <v>0.5</v>
      </c>
      <c r="AX123" s="561">
        <f t="shared" si="154"/>
        <v>0.5</v>
      </c>
      <c r="AY123" s="561">
        <f t="shared" si="154"/>
        <v>0.5</v>
      </c>
      <c r="AZ123" s="561">
        <f t="shared" si="154"/>
        <v>0</v>
      </c>
      <c r="BA123" s="561">
        <f t="shared" si="154"/>
        <v>0</v>
      </c>
      <c r="BB123" s="561">
        <f t="shared" si="154"/>
        <v>0.5</v>
      </c>
      <c r="BC123" s="561">
        <f t="shared" si="154"/>
        <v>0.5</v>
      </c>
      <c r="BD123" s="561">
        <f t="shared" si="154"/>
        <v>0</v>
      </c>
      <c r="BE123" s="265"/>
      <c r="BF123" s="523"/>
      <c r="BG123" s="440"/>
      <c r="BH123" s="527">
        <f>SUMIF($H$102:$H$121,$H$104,BH$102:BH$121)</f>
        <v>0.25</v>
      </c>
      <c r="BI123" s="264"/>
      <c r="BJ123" s="561">
        <f>SUMIF($H$102:$H$121,$H$104,BJ$102:BJ$121)</f>
        <v>0.5</v>
      </c>
      <c r="BK123" s="561">
        <f t="shared" ref="BK123:BR123" si="155">SUMIF($H$102:$H$121,$H$104,BK$102:BK$121)</f>
        <v>0.5</v>
      </c>
      <c r="BL123" s="561">
        <f t="shared" si="155"/>
        <v>0.5</v>
      </c>
      <c r="BM123" s="561">
        <f t="shared" si="155"/>
        <v>0.5</v>
      </c>
      <c r="BN123" s="561">
        <f t="shared" si="155"/>
        <v>0</v>
      </c>
      <c r="BO123" s="561">
        <f t="shared" si="155"/>
        <v>0</v>
      </c>
      <c r="BP123" s="561">
        <f t="shared" si="155"/>
        <v>0.5</v>
      </c>
      <c r="BQ123" s="561">
        <f t="shared" si="155"/>
        <v>0.5</v>
      </c>
      <c r="BR123" s="561">
        <f t="shared" si="155"/>
        <v>0</v>
      </c>
      <c r="BS123" s="265"/>
    </row>
    <row r="124" spans="1:71" s="139" customFormat="1" ht="24" customHeight="1" outlineLevel="1" x14ac:dyDescent="0.2">
      <c r="A124" s="520"/>
      <c r="B124" s="521"/>
      <c r="C124" s="522"/>
      <c r="D124" s="560"/>
      <c r="E124" s="98"/>
      <c r="F124" s="523"/>
      <c r="G124" s="488"/>
      <c r="H124" s="523"/>
      <c r="I124" s="358"/>
      <c r="J124" s="436"/>
      <c r="K124" s="440"/>
      <c r="L124" s="440"/>
      <c r="M124" s="440"/>
      <c r="N124" s="265"/>
      <c r="O124" s="523"/>
      <c r="P124" s="265"/>
      <c r="Q124" s="265"/>
      <c r="R124" s="265"/>
      <c r="S124" s="527"/>
      <c r="T124" s="527"/>
      <c r="U124" s="527"/>
      <c r="V124" s="527"/>
      <c r="W124" s="527"/>
      <c r="X124" s="527"/>
      <c r="Y124" s="527"/>
      <c r="Z124" s="527"/>
      <c r="AA124" s="527"/>
      <c r="AB124" s="265"/>
      <c r="AC124" s="523"/>
      <c r="AD124" s="440"/>
      <c r="AE124" s="265"/>
      <c r="AF124" s="265"/>
      <c r="AG124" s="527"/>
      <c r="AH124" s="527"/>
      <c r="AI124" s="527"/>
      <c r="AJ124" s="527"/>
      <c r="AK124" s="527"/>
      <c r="AL124" s="527"/>
      <c r="AM124" s="527"/>
      <c r="AN124" s="527"/>
      <c r="AO124" s="527"/>
      <c r="AP124" s="265"/>
      <c r="AQ124" s="265"/>
      <c r="AR124" s="523"/>
      <c r="AS124" s="440"/>
      <c r="AT124" s="265"/>
      <c r="AU124" s="265"/>
      <c r="AV124" s="527"/>
      <c r="AW124" s="527"/>
      <c r="AX124" s="527"/>
      <c r="AY124" s="527"/>
      <c r="AZ124" s="527"/>
      <c r="BA124" s="527"/>
      <c r="BB124" s="527"/>
      <c r="BC124" s="527"/>
      <c r="BD124" s="527"/>
      <c r="BE124" s="265"/>
      <c r="BF124" s="523"/>
      <c r="BG124" s="440"/>
      <c r="BH124" s="265"/>
      <c r="BI124" s="265"/>
      <c r="BJ124" s="527"/>
      <c r="BK124" s="527"/>
      <c r="BL124" s="527"/>
      <c r="BM124" s="527"/>
      <c r="BN124" s="527"/>
      <c r="BO124" s="527"/>
      <c r="BP124" s="527"/>
      <c r="BQ124" s="527"/>
      <c r="BR124" s="527"/>
      <c r="BS124" s="265"/>
    </row>
    <row r="125" spans="1:71" ht="24" customHeight="1" outlineLevel="1" x14ac:dyDescent="0.2">
      <c r="A125" s="312"/>
      <c r="B125" s="401" t="s">
        <v>108</v>
      </c>
      <c r="C125" s="157" t="s">
        <v>189</v>
      </c>
      <c r="D125" s="562" t="s">
        <v>111</v>
      </c>
      <c r="E125" s="421" t="s">
        <v>114</v>
      </c>
      <c r="F125" s="475" t="s">
        <v>61</v>
      </c>
      <c r="G125" s="563" t="s">
        <v>50</v>
      </c>
      <c r="H125" s="564" t="s">
        <v>152</v>
      </c>
      <c r="I125" s="731" t="s">
        <v>506</v>
      </c>
      <c r="J125" s="453"/>
      <c r="K125" s="408"/>
      <c r="L125" s="513"/>
      <c r="M125" s="442"/>
      <c r="N125" s="264"/>
      <c r="O125" s="565"/>
      <c r="P125" s="264"/>
      <c r="Q125" s="264"/>
      <c r="R125" s="264"/>
      <c r="S125" s="548"/>
      <c r="T125" s="548"/>
      <c r="U125" s="548"/>
      <c r="V125" s="548"/>
      <c r="W125" s="548"/>
      <c r="X125" s="548"/>
      <c r="Y125" s="548"/>
      <c r="Z125" s="548"/>
      <c r="AA125" s="548"/>
      <c r="AB125" s="264"/>
      <c r="AC125" s="565"/>
      <c r="AD125" s="467"/>
      <c r="AE125" s="264"/>
      <c r="AF125" s="263"/>
      <c r="AG125" s="548"/>
      <c r="AH125" s="548"/>
      <c r="AI125" s="548"/>
      <c r="AJ125" s="548"/>
      <c r="AK125" s="548"/>
      <c r="AL125" s="548"/>
      <c r="AM125" s="548"/>
      <c r="AN125" s="548"/>
      <c r="AO125" s="548"/>
      <c r="AP125" s="264"/>
      <c r="AQ125" s="264"/>
      <c r="AR125" s="565"/>
      <c r="AS125" s="467"/>
      <c r="AT125" s="374">
        <v>0.05</v>
      </c>
      <c r="AU125" s="263"/>
      <c r="AV125" s="419">
        <f>(1+Sensitivity_Term_channels)*(FE_Standard_Sys_Effort*(1+PM_Overhead)*$AT125)</f>
        <v>3.3000000000000003</v>
      </c>
      <c r="AW125" s="419">
        <f>(1+Sensitivity_Term_channels)*(FE_Standard_Sys_Effort*(1+PM_Overhead)*$AT125)</f>
        <v>3.3000000000000003</v>
      </c>
      <c r="AX125" s="419">
        <f>(1+Sensitivity_Term_channels)*(FE_Standard_Sys_Effort*(1+PM_Overhead)*$AT125)</f>
        <v>3.3000000000000003</v>
      </c>
      <c r="AY125" s="419">
        <f>(1+Sensitivity_Term_channels)*(FE_Standard_Sys_Effort*(1+PM_Overhead)*$AT125)</f>
        <v>3.3000000000000003</v>
      </c>
      <c r="AZ125" s="419">
        <f>(1+Sensitivity_Term_channels)*0</f>
        <v>0</v>
      </c>
      <c r="BA125" s="419">
        <f>(1+Sensitivity_Term_channels)*0</f>
        <v>0</v>
      </c>
      <c r="BB125" s="419">
        <f>(1+Sensitivity_Term_channels)*(FE_Standard_Sys_Effort*(1+PM_Overhead)*$AT125)*TierC_TierB_ratio</f>
        <v>1.6500000000000001</v>
      </c>
      <c r="BC125" s="419">
        <f>(1+Sensitivity_Term_channels)*0</f>
        <v>0</v>
      </c>
      <c r="BD125" s="419">
        <f>BB125</f>
        <v>1.6500000000000001</v>
      </c>
      <c r="BE125" s="264"/>
      <c r="BF125" s="565"/>
      <c r="BG125" s="467"/>
      <c r="BH125" s="374">
        <v>0.05</v>
      </c>
      <c r="BI125" s="263"/>
      <c r="BJ125" s="419">
        <f>(1+Sensitivity_Term_channels)*(FE_Standard_Sys_Effort*(1+PM_Overhead)*$AT125)</f>
        <v>3.3000000000000003</v>
      </c>
      <c r="BK125" s="419">
        <f>(1+Sensitivity_Term_channels)*(FE_Standard_Sys_Effort*(1+PM_Overhead)*$AT125)</f>
        <v>3.3000000000000003</v>
      </c>
      <c r="BL125" s="419">
        <f>(1+Sensitivity_Term_channels)*(FE_Standard_Sys_Effort*(1+PM_Overhead)*$AT125)</f>
        <v>3.3000000000000003</v>
      </c>
      <c r="BM125" s="419">
        <f>(1+Sensitivity_Term_channels)*(FE_Standard_Sys_Effort*(1+PM_Overhead)*$AT125)</f>
        <v>3.3000000000000003</v>
      </c>
      <c r="BN125" s="419">
        <f>(1+Sensitivity_Term_channels)*0</f>
        <v>0</v>
      </c>
      <c r="BO125" s="419">
        <f>(1+Sensitivity_Term_channels)*0</f>
        <v>0</v>
      </c>
      <c r="BP125" s="419">
        <f>(1+Sensitivity_Term_channels)*(FE_Standard_Sys_Effort*(1+PM_Overhead)*$AT125)*TierC_TierB_ratio</f>
        <v>1.6500000000000001</v>
      </c>
      <c r="BQ125" s="419">
        <f>(1+Sensitivity_Term_channels)*0</f>
        <v>0</v>
      </c>
      <c r="BR125" s="419">
        <f>BP125</f>
        <v>1.6500000000000001</v>
      </c>
      <c r="BS125" s="263"/>
    </row>
    <row r="126" spans="1:71" ht="24" customHeight="1" outlineLevel="1" x14ac:dyDescent="0.2">
      <c r="A126" s="312"/>
      <c r="B126" s="401" t="s">
        <v>108</v>
      </c>
      <c r="C126" s="157" t="s">
        <v>189</v>
      </c>
      <c r="D126" s="562" t="s">
        <v>111</v>
      </c>
      <c r="E126" s="421" t="s">
        <v>114</v>
      </c>
      <c r="F126" s="433" t="s">
        <v>30</v>
      </c>
      <c r="G126" s="563" t="s">
        <v>50</v>
      </c>
      <c r="H126" s="564" t="s">
        <v>119</v>
      </c>
      <c r="I126" s="731"/>
      <c r="J126" s="453"/>
      <c r="K126" s="408"/>
      <c r="L126" s="513"/>
      <c r="M126" s="422"/>
      <c r="N126" s="264"/>
      <c r="O126" s="565"/>
      <c r="P126" s="264"/>
      <c r="Q126" s="264"/>
      <c r="R126" s="264"/>
      <c r="S126" s="548"/>
      <c r="T126" s="548"/>
      <c r="U126" s="548"/>
      <c r="V126" s="548"/>
      <c r="W126" s="548"/>
      <c r="X126" s="548"/>
      <c r="Y126" s="548"/>
      <c r="Z126" s="548"/>
      <c r="AA126" s="548"/>
      <c r="AB126" s="264"/>
      <c r="AC126" s="565"/>
      <c r="AD126" s="467"/>
      <c r="AE126" s="264"/>
      <c r="AF126" s="263"/>
      <c r="AG126" s="548"/>
      <c r="AH126" s="548"/>
      <c r="AI126" s="548"/>
      <c r="AJ126" s="548"/>
      <c r="AK126" s="548"/>
      <c r="AL126" s="548"/>
      <c r="AM126" s="548"/>
      <c r="AN126" s="548"/>
      <c r="AO126" s="548"/>
      <c r="AP126" s="264"/>
      <c r="AQ126" s="264"/>
      <c r="AR126" s="565"/>
      <c r="AS126" s="467"/>
      <c r="AT126" s="374">
        <v>0</v>
      </c>
      <c r="AU126" s="263"/>
      <c r="AV126" s="419">
        <f>(1+Sensitivity_Term_channels)*0</f>
        <v>0</v>
      </c>
      <c r="AW126" s="419">
        <f>(1+Sensitivity_Term_channels)*0</f>
        <v>0</v>
      </c>
      <c r="AX126" s="419">
        <f>(1+Sensitivity_Term_channels)*0</f>
        <v>0</v>
      </c>
      <c r="AY126" s="419">
        <f>(1+Sensitivity_Term_channels)*0</f>
        <v>0</v>
      </c>
      <c r="AZ126" s="419">
        <f>(1+Sensitivity_Term_channels)*0</f>
        <v>0</v>
      </c>
      <c r="BA126" s="419">
        <f>(1+Sensitivity_Term_channels)*0</f>
        <v>0</v>
      </c>
      <c r="BB126" s="419">
        <f>(1+Sensitivity_Term_channels)*0</f>
        <v>0</v>
      </c>
      <c r="BC126" s="419">
        <f>(1+Sensitivity_Term_channels)*0</f>
        <v>0</v>
      </c>
      <c r="BD126" s="419">
        <f>(1+Sensitivity_Term_channels)*0</f>
        <v>0</v>
      </c>
      <c r="BE126" s="264"/>
      <c r="BF126" s="565"/>
      <c r="BG126" s="467"/>
      <c r="BH126" s="374">
        <v>0</v>
      </c>
      <c r="BI126" s="263"/>
      <c r="BJ126" s="419">
        <f>(1+Sensitivity_Term_channels)*0</f>
        <v>0</v>
      </c>
      <c r="BK126" s="419">
        <f>(1+Sensitivity_Term_channels)*0</f>
        <v>0</v>
      </c>
      <c r="BL126" s="419">
        <f>(1+Sensitivity_Term_channels)*0</f>
        <v>0</v>
      </c>
      <c r="BM126" s="419">
        <f>(1+Sensitivity_Term_channels)*0</f>
        <v>0</v>
      </c>
      <c r="BN126" s="419">
        <f>(1+Sensitivity_Term_channels)*0</f>
        <v>0</v>
      </c>
      <c r="BO126" s="419">
        <f>(1+Sensitivity_Term_channels)*0</f>
        <v>0</v>
      </c>
      <c r="BP126" s="419">
        <f>(1+Sensitivity_Term_channels)*0</f>
        <v>0</v>
      </c>
      <c r="BQ126" s="419">
        <f>(1+Sensitivity_Term_channels)*0</f>
        <v>0</v>
      </c>
      <c r="BR126" s="419">
        <f>(1+Sensitivity_Term_channels)*0</f>
        <v>0</v>
      </c>
      <c r="BS126" s="263"/>
    </row>
    <row r="127" spans="1:71" ht="24" customHeight="1" outlineLevel="1" x14ac:dyDescent="0.2">
      <c r="A127" s="312"/>
      <c r="B127" s="401" t="s">
        <v>108</v>
      </c>
      <c r="C127" s="157" t="s">
        <v>189</v>
      </c>
      <c r="D127" s="562" t="s">
        <v>111</v>
      </c>
      <c r="E127" s="421" t="s">
        <v>114</v>
      </c>
      <c r="F127" s="475" t="s">
        <v>49</v>
      </c>
      <c r="G127" s="563" t="s">
        <v>47</v>
      </c>
      <c r="H127" s="564" t="s">
        <v>120</v>
      </c>
      <c r="I127" s="731"/>
      <c r="J127" s="453"/>
      <c r="K127" s="408"/>
      <c r="L127" s="513"/>
      <c r="M127" s="422"/>
      <c r="N127" s="264"/>
      <c r="O127" s="565"/>
      <c r="P127" s="264"/>
      <c r="Q127" s="264"/>
      <c r="R127" s="264"/>
      <c r="S127" s="549"/>
      <c r="T127" s="549"/>
      <c r="U127" s="549"/>
      <c r="V127" s="549"/>
      <c r="W127" s="549"/>
      <c r="X127" s="549"/>
      <c r="Y127" s="549"/>
      <c r="Z127" s="549"/>
      <c r="AA127" s="549"/>
      <c r="AB127" s="264"/>
      <c r="AC127" s="565"/>
      <c r="AD127" s="467"/>
      <c r="AE127" s="264"/>
      <c r="AF127" s="263"/>
      <c r="AG127" s="549"/>
      <c r="AH127" s="549"/>
      <c r="AI127" s="549"/>
      <c r="AJ127" s="549"/>
      <c r="AK127" s="549"/>
      <c r="AL127" s="549"/>
      <c r="AM127" s="549"/>
      <c r="AN127" s="549"/>
      <c r="AO127" s="549"/>
      <c r="AP127" s="264"/>
      <c r="AQ127" s="264"/>
      <c r="AR127" s="565"/>
      <c r="AS127" s="467"/>
      <c r="AT127" s="264"/>
      <c r="AU127" s="263"/>
      <c r="AV127" s="374">
        <v>0.2</v>
      </c>
      <c r="AW127" s="374">
        <v>0.2</v>
      </c>
      <c r="AX127" s="374">
        <v>0.2</v>
      </c>
      <c r="AY127" s="374">
        <v>0.2</v>
      </c>
      <c r="AZ127" s="374">
        <v>0.2</v>
      </c>
      <c r="BA127" s="374">
        <v>0.2</v>
      </c>
      <c r="BB127" s="374">
        <v>0.2</v>
      </c>
      <c r="BC127" s="374">
        <v>0.2</v>
      </c>
      <c r="BD127" s="374">
        <v>0.2</v>
      </c>
      <c r="BE127" s="264"/>
      <c r="BF127" s="565"/>
      <c r="BG127" s="467"/>
      <c r="BH127" s="264"/>
      <c r="BI127" s="263"/>
      <c r="BJ127" s="374">
        <v>0.2</v>
      </c>
      <c r="BK127" s="374">
        <v>0.2</v>
      </c>
      <c r="BL127" s="374">
        <v>0.2</v>
      </c>
      <c r="BM127" s="374">
        <v>0.2</v>
      </c>
      <c r="BN127" s="374">
        <v>0.2</v>
      </c>
      <c r="BO127" s="374">
        <v>0.2</v>
      </c>
      <c r="BP127" s="374">
        <v>0.2</v>
      </c>
      <c r="BQ127" s="374">
        <v>0.2</v>
      </c>
      <c r="BR127" s="374">
        <v>0.2</v>
      </c>
      <c r="BS127" s="263"/>
    </row>
    <row r="128" spans="1:71" ht="24" customHeight="1" outlineLevel="1" x14ac:dyDescent="0.2">
      <c r="A128" s="312"/>
      <c r="B128" s="546" t="s">
        <v>108</v>
      </c>
      <c r="C128" s="547" t="s">
        <v>171</v>
      </c>
      <c r="D128" s="528" t="s">
        <v>111</v>
      </c>
      <c r="E128" s="529" t="s">
        <v>121</v>
      </c>
      <c r="F128" s="566" t="s">
        <v>61</v>
      </c>
      <c r="G128" s="528" t="s">
        <v>50</v>
      </c>
      <c r="H128" s="530" t="s">
        <v>152</v>
      </c>
      <c r="I128" s="732" t="s">
        <v>243</v>
      </c>
      <c r="J128" s="453"/>
      <c r="K128" s="408"/>
      <c r="L128" s="513"/>
      <c r="M128" s="422"/>
      <c r="N128" s="264"/>
      <c r="O128" s="456"/>
      <c r="P128" s="264"/>
      <c r="Q128" s="374"/>
      <c r="R128" s="264"/>
      <c r="S128" s="548"/>
      <c r="T128" s="548"/>
      <c r="U128" s="548"/>
      <c r="V128" s="548"/>
      <c r="W128" s="548"/>
      <c r="X128" s="548"/>
      <c r="Y128" s="548"/>
      <c r="Z128" s="548"/>
      <c r="AA128" s="548"/>
      <c r="AB128" s="264"/>
      <c r="AC128" s="456"/>
      <c r="AD128" s="467"/>
      <c r="AE128" s="374"/>
      <c r="AF128" s="263"/>
      <c r="AG128" s="548"/>
      <c r="AH128" s="548"/>
      <c r="AI128" s="548"/>
      <c r="AJ128" s="548"/>
      <c r="AK128" s="548"/>
      <c r="AL128" s="548"/>
      <c r="AM128" s="548"/>
      <c r="AN128" s="548"/>
      <c r="AO128" s="548"/>
      <c r="AP128" s="264"/>
      <c r="AQ128" s="264"/>
      <c r="AR128" s="456"/>
      <c r="AS128" s="467"/>
      <c r="AT128" s="374">
        <v>0.15</v>
      </c>
      <c r="AU128" s="263"/>
      <c r="AV128" s="419">
        <f>(1+Sensitivity_Term_channels)*(FE_Standard_Sys_Effort*(1+PM_Overhead)*$AT128)</f>
        <v>9.9</v>
      </c>
      <c r="AW128" s="419">
        <f>(1+Sensitivity_Term_channels)*(FE_Standard_Sys_Effort*(1+PM_Overhead)*$AT128)</f>
        <v>9.9</v>
      </c>
      <c r="AX128" s="419">
        <f>(1+Sensitivity_Term_channels)*(FE_Standard_Sys_Effort*(1+PM_Overhead)*$AT128)</f>
        <v>9.9</v>
      </c>
      <c r="AY128" s="419">
        <f>(1+Sensitivity_Term_channels)*(FE_Standard_Sys_Effort*(1+PM_Overhead)*$AT128)</f>
        <v>9.9</v>
      </c>
      <c r="AZ128" s="419">
        <f>(1+Sensitivity_Term_channels)*0</f>
        <v>0</v>
      </c>
      <c r="BA128" s="419">
        <f>(1+Sensitivity_Term_channels)*0</f>
        <v>0</v>
      </c>
      <c r="BB128" s="419">
        <f>(1+Sensitivity_Term_channels)*(FE_Standard_Sys_Effort*(1+PM_Overhead)*$AT128)*TierC_TierB_ratio</f>
        <v>4.95</v>
      </c>
      <c r="BC128" s="419">
        <f>(1+Sensitivity_Term_channels)*0</f>
        <v>0</v>
      </c>
      <c r="BD128" s="419">
        <f>BB128</f>
        <v>4.95</v>
      </c>
      <c r="BE128" s="264"/>
      <c r="BF128" s="456"/>
      <c r="BG128" s="467"/>
      <c r="BH128" s="374">
        <v>0.15</v>
      </c>
      <c r="BI128" s="263"/>
      <c r="BJ128" s="419">
        <f>(1+Sensitivity_Term_channels)*(FE_Standard_Sys_Effort*(1+PM_Overhead)*$AT128)</f>
        <v>9.9</v>
      </c>
      <c r="BK128" s="419">
        <f>(1+Sensitivity_Term_channels)*(FE_Standard_Sys_Effort*(1+PM_Overhead)*$AT128)</f>
        <v>9.9</v>
      </c>
      <c r="BL128" s="419">
        <f>(1+Sensitivity_Term_channels)*(FE_Standard_Sys_Effort*(1+PM_Overhead)*$AT128)</f>
        <v>9.9</v>
      </c>
      <c r="BM128" s="419">
        <f>(1+Sensitivity_Term_channels)*(FE_Standard_Sys_Effort*(1+PM_Overhead)*$AT128)</f>
        <v>9.9</v>
      </c>
      <c r="BN128" s="419">
        <f>(1+Sensitivity_Term_channels)*0</f>
        <v>0</v>
      </c>
      <c r="BO128" s="419">
        <f>(1+Sensitivity_Term_channels)*0</f>
        <v>0</v>
      </c>
      <c r="BP128" s="419">
        <f>(1+Sensitivity_Term_channels)*(FE_Standard_Sys_Effort*(1+PM_Overhead)*$AT128)*TierC_TierB_ratio</f>
        <v>4.95</v>
      </c>
      <c r="BQ128" s="419">
        <f>(1+Sensitivity_Term_channels)*0</f>
        <v>0</v>
      </c>
      <c r="BR128" s="419">
        <f>BP128</f>
        <v>4.95</v>
      </c>
      <c r="BS128" s="263"/>
    </row>
    <row r="129" spans="1:71" ht="24" customHeight="1" outlineLevel="1" x14ac:dyDescent="0.2">
      <c r="A129" s="312"/>
      <c r="B129" s="546" t="s">
        <v>108</v>
      </c>
      <c r="C129" s="547" t="s">
        <v>171</v>
      </c>
      <c r="D129" s="528" t="s">
        <v>111</v>
      </c>
      <c r="E129" s="529" t="s">
        <v>121</v>
      </c>
      <c r="F129" s="470" t="s">
        <v>30</v>
      </c>
      <c r="G129" s="531" t="s">
        <v>50</v>
      </c>
      <c r="H129" s="530" t="s">
        <v>119</v>
      </c>
      <c r="I129" s="732"/>
      <c r="J129" s="453"/>
      <c r="K129" s="408"/>
      <c r="L129" s="513"/>
      <c r="M129" s="422"/>
      <c r="N129" s="264"/>
      <c r="O129" s="456"/>
      <c r="P129" s="264"/>
      <c r="Q129" s="264"/>
      <c r="R129" s="264"/>
      <c r="S129" s="548"/>
      <c r="T129" s="548"/>
      <c r="U129" s="548"/>
      <c r="V129" s="548"/>
      <c r="W129" s="548"/>
      <c r="X129" s="548"/>
      <c r="Y129" s="548"/>
      <c r="Z129" s="548"/>
      <c r="AA129" s="548"/>
      <c r="AB129" s="264"/>
      <c r="AC129" s="456"/>
      <c r="AD129" s="467"/>
      <c r="AE129" s="264"/>
      <c r="AF129" s="263"/>
      <c r="AG129" s="548"/>
      <c r="AH129" s="548"/>
      <c r="AI129" s="548"/>
      <c r="AJ129" s="548"/>
      <c r="AK129" s="548"/>
      <c r="AL129" s="548"/>
      <c r="AM129" s="548"/>
      <c r="AN129" s="548"/>
      <c r="AO129" s="548"/>
      <c r="AP129" s="264"/>
      <c r="AQ129" s="264"/>
      <c r="AR129" s="456"/>
      <c r="AS129" s="467"/>
      <c r="AT129" s="374">
        <v>0</v>
      </c>
      <c r="AU129" s="263"/>
      <c r="AV129" s="419">
        <f>(1+Sensitivity_Term_channels)*0</f>
        <v>0</v>
      </c>
      <c r="AW129" s="419">
        <f>(1+Sensitivity_Term_channels)*0</f>
        <v>0</v>
      </c>
      <c r="AX129" s="419">
        <f>(1+Sensitivity_Term_channels)*0</f>
        <v>0</v>
      </c>
      <c r="AY129" s="419">
        <f>(1+Sensitivity_Term_channels)*0</f>
        <v>0</v>
      </c>
      <c r="AZ129" s="419">
        <f>(1+Sensitivity_Term_channels)*0</f>
        <v>0</v>
      </c>
      <c r="BA129" s="419">
        <f>(1+Sensitivity_Term_channels)*0</f>
        <v>0</v>
      </c>
      <c r="BB129" s="419">
        <f>(1+Sensitivity_Term_channels)*0</f>
        <v>0</v>
      </c>
      <c r="BC129" s="419">
        <f>(1+Sensitivity_Term_channels)*0</f>
        <v>0</v>
      </c>
      <c r="BD129" s="419">
        <f>(1+Sensitivity_Term_channels)*0</f>
        <v>0</v>
      </c>
      <c r="BE129" s="264"/>
      <c r="BF129" s="456"/>
      <c r="BG129" s="467"/>
      <c r="BH129" s="374">
        <v>0</v>
      </c>
      <c r="BI129" s="263"/>
      <c r="BJ129" s="419">
        <f>(1+Sensitivity_Term_channels)*0</f>
        <v>0</v>
      </c>
      <c r="BK129" s="419">
        <f>(1+Sensitivity_Term_channels)*0</f>
        <v>0</v>
      </c>
      <c r="BL129" s="419">
        <f>(1+Sensitivity_Term_channels)*0</f>
        <v>0</v>
      </c>
      <c r="BM129" s="419">
        <f>(1+Sensitivity_Term_channels)*0</f>
        <v>0</v>
      </c>
      <c r="BN129" s="419">
        <f>(1+Sensitivity_Term_channels)*0</f>
        <v>0</v>
      </c>
      <c r="BO129" s="419">
        <f>(1+Sensitivity_Term_channels)*0</f>
        <v>0</v>
      </c>
      <c r="BP129" s="419">
        <f>(1+Sensitivity_Term_channels)*0</f>
        <v>0</v>
      </c>
      <c r="BQ129" s="419">
        <f>(1+Sensitivity_Term_channels)*0</f>
        <v>0</v>
      </c>
      <c r="BR129" s="419">
        <f>(1+Sensitivity_Term_channels)*0</f>
        <v>0</v>
      </c>
      <c r="BS129" s="263"/>
    </row>
    <row r="130" spans="1:71" ht="24" customHeight="1" outlineLevel="1" x14ac:dyDescent="0.2">
      <c r="A130" s="312"/>
      <c r="B130" s="546" t="s">
        <v>108</v>
      </c>
      <c r="C130" s="547" t="s">
        <v>171</v>
      </c>
      <c r="D130" s="528" t="s">
        <v>111</v>
      </c>
      <c r="E130" s="529" t="s">
        <v>121</v>
      </c>
      <c r="F130" s="531" t="s">
        <v>49</v>
      </c>
      <c r="G130" s="531" t="s">
        <v>47</v>
      </c>
      <c r="H130" s="530" t="s">
        <v>120</v>
      </c>
      <c r="I130" s="732"/>
      <c r="J130" s="453"/>
      <c r="K130" s="408"/>
      <c r="L130" s="513"/>
      <c r="M130" s="422"/>
      <c r="N130" s="264"/>
      <c r="O130" s="456"/>
      <c r="P130" s="264"/>
      <c r="Q130" s="264"/>
      <c r="R130" s="264"/>
      <c r="S130" s="549"/>
      <c r="T130" s="549"/>
      <c r="U130" s="549"/>
      <c r="V130" s="549"/>
      <c r="W130" s="549"/>
      <c r="X130" s="549"/>
      <c r="Y130" s="549"/>
      <c r="Z130" s="549"/>
      <c r="AA130" s="549"/>
      <c r="AB130" s="264"/>
      <c r="AC130" s="456"/>
      <c r="AD130" s="467"/>
      <c r="AE130" s="264"/>
      <c r="AF130" s="263"/>
      <c r="AG130" s="549"/>
      <c r="AH130" s="549"/>
      <c r="AI130" s="549"/>
      <c r="AJ130" s="549"/>
      <c r="AK130" s="549"/>
      <c r="AL130" s="549"/>
      <c r="AM130" s="549"/>
      <c r="AN130" s="549"/>
      <c r="AO130" s="549"/>
      <c r="AP130" s="264"/>
      <c r="AQ130" s="264"/>
      <c r="AR130" s="456"/>
      <c r="AS130" s="467"/>
      <c r="AT130" s="264"/>
      <c r="AU130" s="263"/>
      <c r="AV130" s="374">
        <v>0.2</v>
      </c>
      <c r="AW130" s="374">
        <v>0.2</v>
      </c>
      <c r="AX130" s="374">
        <v>0.2</v>
      </c>
      <c r="AY130" s="374">
        <v>0.2</v>
      </c>
      <c r="AZ130" s="374">
        <v>0.2</v>
      </c>
      <c r="BA130" s="374">
        <v>0.2</v>
      </c>
      <c r="BB130" s="374">
        <v>0.2</v>
      </c>
      <c r="BC130" s="374">
        <v>0.2</v>
      </c>
      <c r="BD130" s="374">
        <v>0.2</v>
      </c>
      <c r="BE130" s="264"/>
      <c r="BF130" s="456"/>
      <c r="BG130" s="467"/>
      <c r="BH130" s="264"/>
      <c r="BI130" s="263"/>
      <c r="BJ130" s="374">
        <v>0.2</v>
      </c>
      <c r="BK130" s="374">
        <v>0.2</v>
      </c>
      <c r="BL130" s="374">
        <v>0.2</v>
      </c>
      <c r="BM130" s="374">
        <v>0.2</v>
      </c>
      <c r="BN130" s="374">
        <v>0.2</v>
      </c>
      <c r="BO130" s="374">
        <v>0.2</v>
      </c>
      <c r="BP130" s="374">
        <v>0.2</v>
      </c>
      <c r="BQ130" s="374">
        <v>0.2</v>
      </c>
      <c r="BR130" s="374">
        <v>0.2</v>
      </c>
      <c r="BS130" s="263"/>
    </row>
    <row r="131" spans="1:71" ht="24" customHeight="1" outlineLevel="1" x14ac:dyDescent="0.2">
      <c r="A131" s="312"/>
      <c r="B131" s="401" t="s">
        <v>108</v>
      </c>
      <c r="C131" s="157" t="s">
        <v>190</v>
      </c>
      <c r="D131" s="567" t="s">
        <v>111</v>
      </c>
      <c r="E131" s="568" t="s">
        <v>146</v>
      </c>
      <c r="F131" s="87" t="s">
        <v>61</v>
      </c>
      <c r="G131" s="567" t="s">
        <v>50</v>
      </c>
      <c r="H131" s="569" t="s">
        <v>152</v>
      </c>
      <c r="I131" s="733" t="s">
        <v>244</v>
      </c>
      <c r="J131" s="453"/>
      <c r="K131" s="408"/>
      <c r="L131" s="513"/>
      <c r="M131" s="422"/>
      <c r="N131" s="264"/>
      <c r="O131" s="570"/>
      <c r="P131" s="264"/>
      <c r="Q131" s="374"/>
      <c r="R131" s="264"/>
      <c r="S131" s="548"/>
      <c r="T131" s="548"/>
      <c r="U131" s="548"/>
      <c r="V131" s="548"/>
      <c r="W131" s="548"/>
      <c r="X131" s="548"/>
      <c r="Y131" s="548"/>
      <c r="Z131" s="548"/>
      <c r="AA131" s="548"/>
      <c r="AB131" s="264"/>
      <c r="AC131" s="570"/>
      <c r="AD131" s="467"/>
      <c r="AE131" s="374"/>
      <c r="AF131" s="263"/>
      <c r="AG131" s="548"/>
      <c r="AH131" s="548"/>
      <c r="AI131" s="548"/>
      <c r="AJ131" s="548"/>
      <c r="AK131" s="548"/>
      <c r="AL131" s="548"/>
      <c r="AM131" s="548"/>
      <c r="AN131" s="548"/>
      <c r="AO131" s="548"/>
      <c r="AP131" s="264"/>
      <c r="AQ131" s="264"/>
      <c r="AR131" s="570"/>
      <c r="AS131" s="467"/>
      <c r="AT131" s="374">
        <v>0.2</v>
      </c>
      <c r="AU131" s="263"/>
      <c r="AV131" s="419">
        <f>(1+Sensitivity_Term_channels)*(FE_Standard_Sys_Effort*(1+PM_Overhead)*$AT131)</f>
        <v>13.200000000000001</v>
      </c>
      <c r="AW131" s="419">
        <f>(1+Sensitivity_Term_channels)*(FE_Standard_Sys_Effort*(1+PM_Overhead)*$AT131)</f>
        <v>13.200000000000001</v>
      </c>
      <c r="AX131" s="419">
        <f>(1+Sensitivity_Term_channels)*(FE_Standard_Sys_Effort*(1+PM_Overhead)*$AT131)</f>
        <v>13.200000000000001</v>
      </c>
      <c r="AY131" s="419">
        <f>(1+Sensitivity_Term_channels)*(FE_Standard_Sys_Effort*(1+PM_Overhead)*$AT131)</f>
        <v>13.200000000000001</v>
      </c>
      <c r="AZ131" s="419">
        <f>(1+Sensitivity_Term_channels)*0</f>
        <v>0</v>
      </c>
      <c r="BA131" s="419">
        <f>(1+Sensitivity_Term_channels)*0</f>
        <v>0</v>
      </c>
      <c r="BB131" s="419">
        <f>(1+Sensitivity_Term_channels)*(FE_Standard_Sys_Effort*(1+PM_Overhead)*$AT131)*TierC_TierB_ratio</f>
        <v>6.6000000000000005</v>
      </c>
      <c r="BC131" s="419">
        <f>(1+Sensitivity_Term_channels)*0</f>
        <v>0</v>
      </c>
      <c r="BD131" s="419">
        <f>BB131</f>
        <v>6.6000000000000005</v>
      </c>
      <c r="BE131" s="264"/>
      <c r="BF131" s="570"/>
      <c r="BG131" s="467"/>
      <c r="BH131" s="374">
        <v>0.2</v>
      </c>
      <c r="BI131" s="263"/>
      <c r="BJ131" s="419">
        <f>(1+Sensitivity_Term_channels)*(FE_Standard_Sys_Effort*(1+PM_Overhead)*$AT131)</f>
        <v>13.200000000000001</v>
      </c>
      <c r="BK131" s="419">
        <f>(1+Sensitivity_Term_channels)*(FE_Standard_Sys_Effort*(1+PM_Overhead)*$AT131)</f>
        <v>13.200000000000001</v>
      </c>
      <c r="BL131" s="419">
        <f>(1+Sensitivity_Term_channels)*(FE_Standard_Sys_Effort*(1+PM_Overhead)*$AT131)</f>
        <v>13.200000000000001</v>
      </c>
      <c r="BM131" s="419">
        <f>(1+Sensitivity_Term_channels)*(FE_Standard_Sys_Effort*(1+PM_Overhead)*$AT131)</f>
        <v>13.200000000000001</v>
      </c>
      <c r="BN131" s="419">
        <f>(1+Sensitivity_Term_channels)*0</f>
        <v>0</v>
      </c>
      <c r="BO131" s="419">
        <f>(1+Sensitivity_Term_channels)*0</f>
        <v>0</v>
      </c>
      <c r="BP131" s="419">
        <f>(1+Sensitivity_Term_channels)*(FE_Standard_Sys_Effort*(1+PM_Overhead)*$AT131)*TierC_TierB_ratio</f>
        <v>6.6000000000000005</v>
      </c>
      <c r="BQ131" s="419">
        <f>(1+Sensitivity_Term_channels)*0</f>
        <v>0</v>
      </c>
      <c r="BR131" s="419">
        <f>BP131</f>
        <v>6.6000000000000005</v>
      </c>
      <c r="BS131" s="263"/>
    </row>
    <row r="132" spans="1:71" ht="24" customHeight="1" outlineLevel="1" x14ac:dyDescent="0.2">
      <c r="A132" s="312"/>
      <c r="B132" s="401" t="s">
        <v>108</v>
      </c>
      <c r="C132" s="157" t="s">
        <v>190</v>
      </c>
      <c r="D132" s="567" t="s">
        <v>111</v>
      </c>
      <c r="E132" s="568" t="s">
        <v>146</v>
      </c>
      <c r="F132" s="464" t="s">
        <v>30</v>
      </c>
      <c r="G132" s="218" t="s">
        <v>50</v>
      </c>
      <c r="H132" s="569" t="s">
        <v>119</v>
      </c>
      <c r="I132" s="733"/>
      <c r="J132" s="453"/>
      <c r="K132" s="408"/>
      <c r="L132" s="513"/>
      <c r="M132" s="422"/>
      <c r="N132" s="264"/>
      <c r="O132" s="570"/>
      <c r="P132" s="264"/>
      <c r="Q132" s="264"/>
      <c r="R132" s="264"/>
      <c r="S132" s="548"/>
      <c r="T132" s="548"/>
      <c r="U132" s="548"/>
      <c r="V132" s="548"/>
      <c r="W132" s="548"/>
      <c r="X132" s="548"/>
      <c r="Y132" s="548"/>
      <c r="Z132" s="548"/>
      <c r="AA132" s="548"/>
      <c r="AB132" s="264"/>
      <c r="AC132" s="570"/>
      <c r="AD132" s="467"/>
      <c r="AE132" s="264"/>
      <c r="AF132" s="263"/>
      <c r="AG132" s="548"/>
      <c r="AH132" s="548"/>
      <c r="AI132" s="548"/>
      <c r="AJ132" s="548"/>
      <c r="AK132" s="548"/>
      <c r="AL132" s="548"/>
      <c r="AM132" s="548"/>
      <c r="AN132" s="548"/>
      <c r="AO132" s="548"/>
      <c r="AP132" s="264"/>
      <c r="AQ132" s="264"/>
      <c r="AR132" s="570"/>
      <c r="AS132" s="467"/>
      <c r="AT132" s="374">
        <v>0</v>
      </c>
      <c r="AU132" s="263"/>
      <c r="AV132" s="419">
        <f>(1+Sensitivity_Term_channels)*0</f>
        <v>0</v>
      </c>
      <c r="AW132" s="419">
        <f>(1+Sensitivity_Term_channels)*0</f>
        <v>0</v>
      </c>
      <c r="AX132" s="419">
        <f>(1+Sensitivity_Term_channels)*0</f>
        <v>0</v>
      </c>
      <c r="AY132" s="419">
        <f>(1+Sensitivity_Term_channels)*0</f>
        <v>0</v>
      </c>
      <c r="AZ132" s="419">
        <f>(1+Sensitivity_Term_channels)*0</f>
        <v>0</v>
      </c>
      <c r="BA132" s="419">
        <f>(1+Sensitivity_Term_channels)*0</f>
        <v>0</v>
      </c>
      <c r="BB132" s="419">
        <f>(1+Sensitivity_Term_channels)*0</f>
        <v>0</v>
      </c>
      <c r="BC132" s="419">
        <f>(1+Sensitivity_Term_channels)*0</f>
        <v>0</v>
      </c>
      <c r="BD132" s="419">
        <f>(1+Sensitivity_Term_channels)*0</f>
        <v>0</v>
      </c>
      <c r="BE132" s="264"/>
      <c r="BF132" s="570"/>
      <c r="BG132" s="467"/>
      <c r="BH132" s="374">
        <v>0</v>
      </c>
      <c r="BI132" s="263"/>
      <c r="BJ132" s="419">
        <f>(1+Sensitivity_Term_channels)*0</f>
        <v>0</v>
      </c>
      <c r="BK132" s="419">
        <f>(1+Sensitivity_Term_channels)*0</f>
        <v>0</v>
      </c>
      <c r="BL132" s="419">
        <f>(1+Sensitivity_Term_channels)*0</f>
        <v>0</v>
      </c>
      <c r="BM132" s="419">
        <f>(1+Sensitivity_Term_channels)*0</f>
        <v>0</v>
      </c>
      <c r="BN132" s="419">
        <f>(1+Sensitivity_Term_channels)*0</f>
        <v>0</v>
      </c>
      <c r="BO132" s="419">
        <f>(1+Sensitivity_Term_channels)*0</f>
        <v>0</v>
      </c>
      <c r="BP132" s="419">
        <f>(1+Sensitivity_Term_channels)*0</f>
        <v>0</v>
      </c>
      <c r="BQ132" s="419">
        <f>(1+Sensitivity_Term_channels)*0</f>
        <v>0</v>
      </c>
      <c r="BR132" s="419">
        <f>(1+Sensitivity_Term_channels)*0</f>
        <v>0</v>
      </c>
      <c r="BS132" s="263"/>
    </row>
    <row r="133" spans="1:71" ht="24" customHeight="1" outlineLevel="1" x14ac:dyDescent="0.2">
      <c r="A133" s="312"/>
      <c r="B133" s="401" t="s">
        <v>108</v>
      </c>
      <c r="C133" s="157" t="s">
        <v>190</v>
      </c>
      <c r="D133" s="567" t="s">
        <v>111</v>
      </c>
      <c r="E133" s="568" t="s">
        <v>146</v>
      </c>
      <c r="F133" s="218" t="s">
        <v>49</v>
      </c>
      <c r="G133" s="218" t="s">
        <v>47</v>
      </c>
      <c r="H133" s="569" t="s">
        <v>120</v>
      </c>
      <c r="I133" s="733"/>
      <c r="J133" s="453"/>
      <c r="K133" s="408"/>
      <c r="L133" s="513"/>
      <c r="M133" s="422"/>
      <c r="N133" s="264"/>
      <c r="O133" s="570"/>
      <c r="P133" s="264"/>
      <c r="Q133" s="264"/>
      <c r="R133" s="264"/>
      <c r="S133" s="549"/>
      <c r="T133" s="549"/>
      <c r="U133" s="549"/>
      <c r="V133" s="549"/>
      <c r="W133" s="549"/>
      <c r="X133" s="549"/>
      <c r="Y133" s="549"/>
      <c r="Z133" s="549"/>
      <c r="AA133" s="549"/>
      <c r="AB133" s="264"/>
      <c r="AC133" s="570"/>
      <c r="AD133" s="467"/>
      <c r="AE133" s="264"/>
      <c r="AF133" s="263"/>
      <c r="AG133" s="549"/>
      <c r="AH133" s="549"/>
      <c r="AI133" s="549"/>
      <c r="AJ133" s="549"/>
      <c r="AK133" s="549"/>
      <c r="AL133" s="549"/>
      <c r="AM133" s="549"/>
      <c r="AN133" s="549"/>
      <c r="AO133" s="549"/>
      <c r="AP133" s="264"/>
      <c r="AQ133" s="264"/>
      <c r="AR133" s="570"/>
      <c r="AS133" s="467"/>
      <c r="AT133" s="264"/>
      <c r="AU133" s="263"/>
      <c r="AV133" s="374">
        <v>0.2</v>
      </c>
      <c r="AW133" s="374">
        <v>0.2</v>
      </c>
      <c r="AX133" s="374">
        <v>0.2</v>
      </c>
      <c r="AY133" s="374">
        <v>0.2</v>
      </c>
      <c r="AZ133" s="374">
        <v>0.2</v>
      </c>
      <c r="BA133" s="374">
        <v>0.2</v>
      </c>
      <c r="BB133" s="374">
        <v>0.2</v>
      </c>
      <c r="BC133" s="374">
        <v>0.2</v>
      </c>
      <c r="BD133" s="374">
        <v>0.2</v>
      </c>
      <c r="BE133" s="264"/>
      <c r="BF133" s="570"/>
      <c r="BG133" s="467"/>
      <c r="BH133" s="264"/>
      <c r="BI133" s="263"/>
      <c r="BJ133" s="374">
        <v>0.2</v>
      </c>
      <c r="BK133" s="374">
        <v>0.2</v>
      </c>
      <c r="BL133" s="374">
        <v>0.2</v>
      </c>
      <c r="BM133" s="374">
        <v>0.2</v>
      </c>
      <c r="BN133" s="374">
        <v>0.2</v>
      </c>
      <c r="BO133" s="374">
        <v>0.2</v>
      </c>
      <c r="BP133" s="374">
        <v>0.2</v>
      </c>
      <c r="BQ133" s="374">
        <v>0.2</v>
      </c>
      <c r="BR133" s="374">
        <v>0.2</v>
      </c>
      <c r="BS133" s="263"/>
    </row>
    <row r="134" spans="1:71" ht="24" customHeight="1" outlineLevel="1" x14ac:dyDescent="0.2">
      <c r="A134" s="312"/>
      <c r="B134" s="401" t="s">
        <v>108</v>
      </c>
      <c r="C134" s="157" t="s">
        <v>190</v>
      </c>
      <c r="D134" s="571" t="s">
        <v>111</v>
      </c>
      <c r="E134" s="572" t="s">
        <v>142</v>
      </c>
      <c r="F134" s="573" t="s">
        <v>61</v>
      </c>
      <c r="G134" s="571" t="s">
        <v>50</v>
      </c>
      <c r="H134" s="574" t="s">
        <v>152</v>
      </c>
      <c r="I134" s="776" t="s">
        <v>156</v>
      </c>
      <c r="J134" s="453"/>
      <c r="K134" s="408"/>
      <c r="L134" s="513"/>
      <c r="M134" s="422"/>
      <c r="N134" s="264"/>
      <c r="O134" s="570"/>
      <c r="P134" s="264"/>
      <c r="Q134" s="374"/>
      <c r="R134" s="264"/>
      <c r="S134" s="548"/>
      <c r="T134" s="548"/>
      <c r="U134" s="548"/>
      <c r="V134" s="548"/>
      <c r="W134" s="548"/>
      <c r="X134" s="548"/>
      <c r="Y134" s="548"/>
      <c r="Z134" s="548"/>
      <c r="AA134" s="548"/>
      <c r="AB134" s="264"/>
      <c r="AC134" s="570"/>
      <c r="AD134" s="467"/>
      <c r="AE134" s="374"/>
      <c r="AF134" s="263"/>
      <c r="AG134" s="548"/>
      <c r="AH134" s="548"/>
      <c r="AI134" s="548"/>
      <c r="AJ134" s="548"/>
      <c r="AK134" s="548"/>
      <c r="AL134" s="548"/>
      <c r="AM134" s="548"/>
      <c r="AN134" s="548"/>
      <c r="AO134" s="548"/>
      <c r="AP134" s="264"/>
      <c r="AQ134" s="264"/>
      <c r="AR134" s="570"/>
      <c r="AS134" s="467"/>
      <c r="AT134" s="374">
        <v>0.2</v>
      </c>
      <c r="AU134" s="263"/>
      <c r="AV134" s="419">
        <f>(1+Sensitivity_Term_channels)*(FE_Standard_Sys_Effort*(1+PM_Overhead)*$AT134)</f>
        <v>13.200000000000001</v>
      </c>
      <c r="AW134" s="419">
        <f>(1+Sensitivity_Term_channels)*(FE_Standard_Sys_Effort*(1+PM_Overhead)*$AT134)</f>
        <v>13.200000000000001</v>
      </c>
      <c r="AX134" s="419">
        <f>(1+Sensitivity_Term_channels)*(FE_Standard_Sys_Effort*(1+PM_Overhead)*$AT134)</f>
        <v>13.200000000000001</v>
      </c>
      <c r="AY134" s="419">
        <f>(1+Sensitivity_Term_channels)*(FE_Standard_Sys_Effort*(1+PM_Overhead)*$AT134)</f>
        <v>13.200000000000001</v>
      </c>
      <c r="AZ134" s="419">
        <f>(1+Sensitivity_Term_channels)*0</f>
        <v>0</v>
      </c>
      <c r="BA134" s="419">
        <f>(1+Sensitivity_Term_channels)*0</f>
        <v>0</v>
      </c>
      <c r="BB134" s="419">
        <f>(1+Sensitivity_Term_channels)*(FE_Standard_Sys_Effort*(1+PM_Overhead)*$AT134)*TierC_TierB_ratio</f>
        <v>6.6000000000000005</v>
      </c>
      <c r="BC134" s="419">
        <f>(1+Sensitivity_Term_channels)*0</f>
        <v>0</v>
      </c>
      <c r="BD134" s="419">
        <f>BB134</f>
        <v>6.6000000000000005</v>
      </c>
      <c r="BE134" s="264"/>
      <c r="BF134" s="570"/>
      <c r="BG134" s="467"/>
      <c r="BH134" s="374">
        <v>0.2</v>
      </c>
      <c r="BI134" s="263"/>
      <c r="BJ134" s="419">
        <f>(1+Sensitivity_Term_channels)*(FE_Standard_Sys_Effort*(1+PM_Overhead)*$AT134)</f>
        <v>13.200000000000001</v>
      </c>
      <c r="BK134" s="419">
        <f>(1+Sensitivity_Term_channels)*(FE_Standard_Sys_Effort*(1+PM_Overhead)*$AT134)</f>
        <v>13.200000000000001</v>
      </c>
      <c r="BL134" s="419">
        <f>(1+Sensitivity_Term_channels)*(FE_Standard_Sys_Effort*(1+PM_Overhead)*$AT134)</f>
        <v>13.200000000000001</v>
      </c>
      <c r="BM134" s="419">
        <f>(1+Sensitivity_Term_channels)*(FE_Standard_Sys_Effort*(1+PM_Overhead)*$AT134)</f>
        <v>13.200000000000001</v>
      </c>
      <c r="BN134" s="419">
        <f>(1+Sensitivity_Term_channels)*0</f>
        <v>0</v>
      </c>
      <c r="BO134" s="419">
        <f>(1+Sensitivity_Term_channels)*0</f>
        <v>0</v>
      </c>
      <c r="BP134" s="419">
        <f>(1+Sensitivity_Term_channels)*(FE_Standard_Sys_Effort*(1+PM_Overhead)*$AT134)*TierC_TierB_ratio</f>
        <v>6.6000000000000005</v>
      </c>
      <c r="BQ134" s="419">
        <f>(1+Sensitivity_Term_channels)*0</f>
        <v>0</v>
      </c>
      <c r="BR134" s="419">
        <f>BP134</f>
        <v>6.6000000000000005</v>
      </c>
      <c r="BS134" s="263"/>
    </row>
    <row r="135" spans="1:71" ht="24" customHeight="1" outlineLevel="1" x14ac:dyDescent="0.2">
      <c r="A135" s="312"/>
      <c r="B135" s="401" t="s">
        <v>108</v>
      </c>
      <c r="C135" s="157" t="s">
        <v>190</v>
      </c>
      <c r="D135" s="571" t="s">
        <v>111</v>
      </c>
      <c r="E135" s="572" t="s">
        <v>142</v>
      </c>
      <c r="F135" s="575" t="s">
        <v>30</v>
      </c>
      <c r="G135" s="576" t="s">
        <v>50</v>
      </c>
      <c r="H135" s="574" t="s">
        <v>119</v>
      </c>
      <c r="I135" s="776"/>
      <c r="J135" s="453"/>
      <c r="K135" s="408"/>
      <c r="L135" s="513"/>
      <c r="M135" s="422"/>
      <c r="N135" s="264"/>
      <c r="O135" s="570"/>
      <c r="P135" s="264"/>
      <c r="Q135" s="264"/>
      <c r="R135" s="264"/>
      <c r="S135" s="548"/>
      <c r="T135" s="548"/>
      <c r="U135" s="548"/>
      <c r="V135" s="548"/>
      <c r="W135" s="548"/>
      <c r="X135" s="548"/>
      <c r="Y135" s="548"/>
      <c r="Z135" s="548"/>
      <c r="AA135" s="548"/>
      <c r="AB135" s="264"/>
      <c r="AC135" s="570"/>
      <c r="AD135" s="467"/>
      <c r="AE135" s="264"/>
      <c r="AF135" s="263"/>
      <c r="AG135" s="548"/>
      <c r="AH135" s="548"/>
      <c r="AI135" s="548"/>
      <c r="AJ135" s="548"/>
      <c r="AK135" s="548"/>
      <c r="AL135" s="548"/>
      <c r="AM135" s="548"/>
      <c r="AN135" s="548"/>
      <c r="AO135" s="548"/>
      <c r="AP135" s="264"/>
      <c r="AQ135" s="264"/>
      <c r="AR135" s="570"/>
      <c r="AS135" s="467"/>
      <c r="AT135" s="374">
        <v>0</v>
      </c>
      <c r="AU135" s="263"/>
      <c r="AV135" s="419">
        <f>(1+Sensitivity_Term_channels)*0</f>
        <v>0</v>
      </c>
      <c r="AW135" s="419">
        <f>(1+Sensitivity_Term_channels)*0</f>
        <v>0</v>
      </c>
      <c r="AX135" s="419">
        <f>(1+Sensitivity_Term_channels)*0</f>
        <v>0</v>
      </c>
      <c r="AY135" s="419">
        <f>(1+Sensitivity_Term_channels)*0</f>
        <v>0</v>
      </c>
      <c r="AZ135" s="419">
        <f>(1+Sensitivity_Term_channels)*0</f>
        <v>0</v>
      </c>
      <c r="BA135" s="419">
        <f>(1+Sensitivity_Term_channels)*0</f>
        <v>0</v>
      </c>
      <c r="BB135" s="419">
        <f>(1+Sensitivity_Term_channels)*0</f>
        <v>0</v>
      </c>
      <c r="BC135" s="419">
        <f>(1+Sensitivity_Term_channels)*0</f>
        <v>0</v>
      </c>
      <c r="BD135" s="419">
        <f>(1+Sensitivity_Term_channels)*0</f>
        <v>0</v>
      </c>
      <c r="BE135" s="264"/>
      <c r="BF135" s="570"/>
      <c r="BG135" s="467"/>
      <c r="BH135" s="374">
        <v>0</v>
      </c>
      <c r="BI135" s="263"/>
      <c r="BJ135" s="419">
        <f>(1+Sensitivity_Term_channels)*0</f>
        <v>0</v>
      </c>
      <c r="BK135" s="419">
        <f>(1+Sensitivity_Term_channels)*0</f>
        <v>0</v>
      </c>
      <c r="BL135" s="419">
        <f>(1+Sensitivity_Term_channels)*0</f>
        <v>0</v>
      </c>
      <c r="BM135" s="419">
        <f>(1+Sensitivity_Term_channels)*0</f>
        <v>0</v>
      </c>
      <c r="BN135" s="419">
        <f>(1+Sensitivity_Term_channels)*0</f>
        <v>0</v>
      </c>
      <c r="BO135" s="419">
        <f>(1+Sensitivity_Term_channels)*0</f>
        <v>0</v>
      </c>
      <c r="BP135" s="419">
        <f>(1+Sensitivity_Term_channels)*0</f>
        <v>0</v>
      </c>
      <c r="BQ135" s="419">
        <f>(1+Sensitivity_Term_channels)*0</f>
        <v>0</v>
      </c>
      <c r="BR135" s="419">
        <f>(1+Sensitivity_Term_channels)*0</f>
        <v>0</v>
      </c>
      <c r="BS135" s="263"/>
    </row>
    <row r="136" spans="1:71" ht="24" customHeight="1" outlineLevel="1" x14ac:dyDescent="0.2">
      <c r="A136" s="312"/>
      <c r="B136" s="401" t="s">
        <v>108</v>
      </c>
      <c r="C136" s="157" t="s">
        <v>190</v>
      </c>
      <c r="D136" s="571" t="s">
        <v>111</v>
      </c>
      <c r="E136" s="572" t="s">
        <v>142</v>
      </c>
      <c r="F136" s="576" t="s">
        <v>49</v>
      </c>
      <c r="G136" s="576" t="s">
        <v>47</v>
      </c>
      <c r="H136" s="574" t="s">
        <v>120</v>
      </c>
      <c r="I136" s="776"/>
      <c r="J136" s="453"/>
      <c r="K136" s="408"/>
      <c r="L136" s="513"/>
      <c r="M136" s="422"/>
      <c r="N136" s="264"/>
      <c r="O136" s="570"/>
      <c r="P136" s="264"/>
      <c r="Q136" s="264"/>
      <c r="R136" s="264"/>
      <c r="S136" s="549"/>
      <c r="T136" s="549"/>
      <c r="U136" s="549"/>
      <c r="V136" s="549"/>
      <c r="W136" s="549"/>
      <c r="X136" s="549"/>
      <c r="Y136" s="549"/>
      <c r="Z136" s="549"/>
      <c r="AA136" s="549"/>
      <c r="AB136" s="264"/>
      <c r="AC136" s="570"/>
      <c r="AD136" s="467"/>
      <c r="AE136" s="264"/>
      <c r="AF136" s="263"/>
      <c r="AG136" s="549"/>
      <c r="AH136" s="549"/>
      <c r="AI136" s="549"/>
      <c r="AJ136" s="549"/>
      <c r="AK136" s="549"/>
      <c r="AL136" s="549"/>
      <c r="AM136" s="549"/>
      <c r="AN136" s="549"/>
      <c r="AO136" s="549"/>
      <c r="AP136" s="264"/>
      <c r="AQ136" s="264"/>
      <c r="AR136" s="570"/>
      <c r="AS136" s="467"/>
      <c r="AT136" s="264"/>
      <c r="AU136" s="263"/>
      <c r="AV136" s="374">
        <v>0.2</v>
      </c>
      <c r="AW136" s="374">
        <v>0.2</v>
      </c>
      <c r="AX136" s="374">
        <v>0.2</v>
      </c>
      <c r="AY136" s="374">
        <v>0.2</v>
      </c>
      <c r="AZ136" s="374">
        <v>0.2</v>
      </c>
      <c r="BA136" s="374">
        <v>0.2</v>
      </c>
      <c r="BB136" s="374">
        <v>0.2</v>
      </c>
      <c r="BC136" s="374">
        <v>0.2</v>
      </c>
      <c r="BD136" s="374">
        <v>0.2</v>
      </c>
      <c r="BE136" s="264"/>
      <c r="BF136" s="570"/>
      <c r="BG136" s="467"/>
      <c r="BH136" s="264"/>
      <c r="BI136" s="263"/>
      <c r="BJ136" s="374">
        <v>0.2</v>
      </c>
      <c r="BK136" s="374">
        <v>0.2</v>
      </c>
      <c r="BL136" s="374">
        <v>0.2</v>
      </c>
      <c r="BM136" s="374">
        <v>0.2</v>
      </c>
      <c r="BN136" s="374">
        <v>0.2</v>
      </c>
      <c r="BO136" s="374">
        <v>0.2</v>
      </c>
      <c r="BP136" s="374">
        <v>0.2</v>
      </c>
      <c r="BQ136" s="374">
        <v>0.2</v>
      </c>
      <c r="BR136" s="374">
        <v>0.2</v>
      </c>
      <c r="BS136" s="263"/>
    </row>
    <row r="137" spans="1:71" ht="24" customHeight="1" outlineLevel="1" x14ac:dyDescent="0.2">
      <c r="A137" s="312"/>
      <c r="B137" s="546" t="s">
        <v>108</v>
      </c>
      <c r="C137" s="547" t="s">
        <v>171</v>
      </c>
      <c r="D137" s="563" t="s">
        <v>111</v>
      </c>
      <c r="E137" s="421" t="s">
        <v>143</v>
      </c>
      <c r="F137" s="577" t="s">
        <v>61</v>
      </c>
      <c r="G137" s="563" t="s">
        <v>50</v>
      </c>
      <c r="H137" s="564" t="s">
        <v>152</v>
      </c>
      <c r="I137" s="767" t="s">
        <v>246</v>
      </c>
      <c r="J137" s="453"/>
      <c r="K137" s="408"/>
      <c r="L137" s="513"/>
      <c r="M137" s="550"/>
      <c r="N137" s="264"/>
      <c r="O137" s="578"/>
      <c r="P137" s="264"/>
      <c r="Q137" s="374"/>
      <c r="R137" s="264"/>
      <c r="S137" s="548"/>
      <c r="T137" s="548"/>
      <c r="U137" s="548"/>
      <c r="V137" s="548"/>
      <c r="W137" s="548"/>
      <c r="X137" s="548"/>
      <c r="Y137" s="548"/>
      <c r="Z137" s="548"/>
      <c r="AA137" s="548"/>
      <c r="AB137" s="264"/>
      <c r="AC137" s="579"/>
      <c r="AD137" s="454"/>
      <c r="AE137" s="374"/>
      <c r="AF137" s="263"/>
      <c r="AG137" s="548"/>
      <c r="AH137" s="548"/>
      <c r="AI137" s="548"/>
      <c r="AJ137" s="548"/>
      <c r="AK137" s="548"/>
      <c r="AL137" s="548"/>
      <c r="AM137" s="548"/>
      <c r="AN137" s="548"/>
      <c r="AO137" s="548"/>
      <c r="AP137" s="264"/>
      <c r="AQ137" s="264"/>
      <c r="AR137" s="579"/>
      <c r="AS137" s="454"/>
      <c r="AT137" s="374">
        <v>0.2</v>
      </c>
      <c r="AU137" s="263"/>
      <c r="AV137" s="419">
        <f>(1+Sensitivity_Term_channels)*(FE_Standard_Sys_Effort*(1+PM_Overhead)*$AT137)</f>
        <v>13.200000000000001</v>
      </c>
      <c r="AW137" s="419">
        <f>(1+Sensitivity_Term_channels)*(FE_Standard_Sys_Effort*(1+PM_Overhead)*$AT137)</f>
        <v>13.200000000000001</v>
      </c>
      <c r="AX137" s="419">
        <f>(1+Sensitivity_Term_channels)*(FE_Standard_Sys_Effort*(1+PM_Overhead)*$AT137)</f>
        <v>13.200000000000001</v>
      </c>
      <c r="AY137" s="419">
        <f>(1+Sensitivity_Term_channels)*(FE_Standard_Sys_Effort*(1+PM_Overhead)*$AT137)</f>
        <v>13.200000000000001</v>
      </c>
      <c r="AZ137" s="419">
        <f>(1+Sensitivity_Term_channels)*0</f>
        <v>0</v>
      </c>
      <c r="BA137" s="419">
        <f>(1+Sensitivity_Term_channels)*0</f>
        <v>0</v>
      </c>
      <c r="BB137" s="419">
        <f>(1+Sensitivity_Term_channels)*(FE_Standard_Sys_Effort*(1+PM_Overhead)*$AT137)*TierC_TierB_ratio</f>
        <v>6.6000000000000005</v>
      </c>
      <c r="BC137" s="419">
        <f>(1+Sensitivity_Term_channels)*0</f>
        <v>0</v>
      </c>
      <c r="BD137" s="419">
        <f>BB137</f>
        <v>6.6000000000000005</v>
      </c>
      <c r="BE137" s="264"/>
      <c r="BF137" s="579"/>
      <c r="BG137" s="454"/>
      <c r="BH137" s="374">
        <v>0.2</v>
      </c>
      <c r="BI137" s="263"/>
      <c r="BJ137" s="419">
        <f>(1+Sensitivity_Term_channels)*(FE_Standard_Sys_Effort*(1+PM_Overhead)*$AT137)</f>
        <v>13.200000000000001</v>
      </c>
      <c r="BK137" s="419">
        <f>(1+Sensitivity_Term_channels)*(FE_Standard_Sys_Effort*(1+PM_Overhead)*$AT137)</f>
        <v>13.200000000000001</v>
      </c>
      <c r="BL137" s="419">
        <f>(1+Sensitivity_Term_channels)*(FE_Standard_Sys_Effort*(1+PM_Overhead)*$AT137)</f>
        <v>13.200000000000001</v>
      </c>
      <c r="BM137" s="419">
        <f>(1+Sensitivity_Term_channels)*(FE_Standard_Sys_Effort*(1+PM_Overhead)*$AT137)</f>
        <v>13.200000000000001</v>
      </c>
      <c r="BN137" s="419">
        <f>(1+Sensitivity_Term_channels)*0</f>
        <v>0</v>
      </c>
      <c r="BO137" s="419">
        <f>(1+Sensitivity_Term_channels)*0</f>
        <v>0</v>
      </c>
      <c r="BP137" s="419">
        <f>(1+Sensitivity_Term_channels)*(FE_Standard_Sys_Effort*(1+PM_Overhead)*$AT137)*TierC_TierB_ratio</f>
        <v>6.6000000000000005</v>
      </c>
      <c r="BQ137" s="419">
        <f>(1+Sensitivity_Term_channels)*0</f>
        <v>0</v>
      </c>
      <c r="BR137" s="419">
        <f>BP137</f>
        <v>6.6000000000000005</v>
      </c>
      <c r="BS137" s="263"/>
    </row>
    <row r="138" spans="1:71" ht="24" customHeight="1" outlineLevel="1" x14ac:dyDescent="0.2">
      <c r="A138" s="312"/>
      <c r="B138" s="546" t="s">
        <v>108</v>
      </c>
      <c r="C138" s="547" t="s">
        <v>171</v>
      </c>
      <c r="D138" s="563" t="s">
        <v>111</v>
      </c>
      <c r="E138" s="421" t="s">
        <v>143</v>
      </c>
      <c r="F138" s="473" t="s">
        <v>30</v>
      </c>
      <c r="G138" s="563" t="s">
        <v>50</v>
      </c>
      <c r="H138" s="564" t="s">
        <v>119</v>
      </c>
      <c r="I138" s="767"/>
      <c r="J138" s="453"/>
      <c r="K138" s="408"/>
      <c r="L138" s="513"/>
      <c r="M138" s="422"/>
      <c r="N138" s="264"/>
      <c r="O138" s="727"/>
      <c r="P138" s="264"/>
      <c r="Q138" s="264"/>
      <c r="R138" s="264"/>
      <c r="S138" s="548"/>
      <c r="T138" s="548"/>
      <c r="U138" s="548"/>
      <c r="V138" s="548"/>
      <c r="W138" s="548"/>
      <c r="X138" s="548"/>
      <c r="Y138" s="548"/>
      <c r="Z138" s="548"/>
      <c r="AA138" s="548"/>
      <c r="AB138" s="264"/>
      <c r="AC138" s="729"/>
      <c r="AD138" s="467"/>
      <c r="AE138" s="264"/>
      <c r="AF138" s="263"/>
      <c r="AG138" s="548"/>
      <c r="AH138" s="548"/>
      <c r="AI138" s="548"/>
      <c r="AJ138" s="548"/>
      <c r="AK138" s="548"/>
      <c r="AL138" s="548"/>
      <c r="AM138" s="548"/>
      <c r="AN138" s="548"/>
      <c r="AO138" s="548"/>
      <c r="AP138" s="264"/>
      <c r="AQ138" s="264"/>
      <c r="AR138" s="729" t="s">
        <v>210</v>
      </c>
      <c r="AS138" s="467"/>
      <c r="AT138" s="374">
        <v>0</v>
      </c>
      <c r="AU138" s="263"/>
      <c r="AV138" s="419">
        <f>(1+Sensitivity_Term_channels)*0</f>
        <v>0</v>
      </c>
      <c r="AW138" s="419">
        <f>(1+Sensitivity_Term_channels)*0</f>
        <v>0</v>
      </c>
      <c r="AX138" s="419">
        <f>(1+Sensitivity_Term_channels)*0</f>
        <v>0</v>
      </c>
      <c r="AY138" s="419">
        <f>(1+Sensitivity_Term_channels)*0</f>
        <v>0</v>
      </c>
      <c r="AZ138" s="419">
        <f>(1+Sensitivity_Term_channels)*0</f>
        <v>0</v>
      </c>
      <c r="BA138" s="419">
        <f>(1+Sensitivity_Term_channels)*0</f>
        <v>0</v>
      </c>
      <c r="BB138" s="419">
        <f>(1+Sensitivity_Term_channels)*0</f>
        <v>0</v>
      </c>
      <c r="BC138" s="419">
        <f>(1+Sensitivity_Term_channels)*0</f>
        <v>0</v>
      </c>
      <c r="BD138" s="419">
        <f>(1+Sensitivity_Term_channels)*0</f>
        <v>0</v>
      </c>
      <c r="BE138" s="264"/>
      <c r="BF138" s="729" t="s">
        <v>210</v>
      </c>
      <c r="BG138" s="467"/>
      <c r="BH138" s="374">
        <v>0</v>
      </c>
      <c r="BI138" s="263"/>
      <c r="BJ138" s="419">
        <f>(1+Sensitivity_Term_channels)*0</f>
        <v>0</v>
      </c>
      <c r="BK138" s="419">
        <f>(1+Sensitivity_Term_channels)*0</f>
        <v>0</v>
      </c>
      <c r="BL138" s="419">
        <f>(1+Sensitivity_Term_channels)*0</f>
        <v>0</v>
      </c>
      <c r="BM138" s="419">
        <f>(1+Sensitivity_Term_channels)*0</f>
        <v>0</v>
      </c>
      <c r="BN138" s="419">
        <f>(1+Sensitivity_Term_channels)*0</f>
        <v>0</v>
      </c>
      <c r="BO138" s="419">
        <f>(1+Sensitivity_Term_channels)*0</f>
        <v>0</v>
      </c>
      <c r="BP138" s="419">
        <f>(1+Sensitivity_Term_channels)*0</f>
        <v>0</v>
      </c>
      <c r="BQ138" s="419">
        <f>(1+Sensitivity_Term_channels)*0</f>
        <v>0</v>
      </c>
      <c r="BR138" s="419">
        <f>(1+Sensitivity_Term_channels)*0</f>
        <v>0</v>
      </c>
      <c r="BS138" s="263"/>
    </row>
    <row r="139" spans="1:71" ht="24" customHeight="1" outlineLevel="1" x14ac:dyDescent="0.2">
      <c r="A139" s="312"/>
      <c r="B139" s="546" t="s">
        <v>108</v>
      </c>
      <c r="C139" s="547" t="s">
        <v>171</v>
      </c>
      <c r="D139" s="563" t="s">
        <v>111</v>
      </c>
      <c r="E139" s="421" t="s">
        <v>143</v>
      </c>
      <c r="F139" s="563" t="s">
        <v>49</v>
      </c>
      <c r="G139" s="563" t="s">
        <v>47</v>
      </c>
      <c r="H139" s="564" t="s">
        <v>120</v>
      </c>
      <c r="I139" s="767"/>
      <c r="J139" s="453"/>
      <c r="K139" s="408"/>
      <c r="L139" s="513"/>
      <c r="M139" s="422"/>
      <c r="N139" s="264"/>
      <c r="O139" s="728"/>
      <c r="P139" s="264"/>
      <c r="Q139" s="264"/>
      <c r="R139" s="264"/>
      <c r="S139" s="549"/>
      <c r="T139" s="549"/>
      <c r="U139" s="549"/>
      <c r="V139" s="549"/>
      <c r="W139" s="549"/>
      <c r="X139" s="549"/>
      <c r="Y139" s="549"/>
      <c r="Z139" s="549"/>
      <c r="AA139" s="549"/>
      <c r="AB139" s="264"/>
      <c r="AC139" s="730"/>
      <c r="AD139" s="467"/>
      <c r="AE139" s="264"/>
      <c r="AF139" s="263"/>
      <c r="AG139" s="549"/>
      <c r="AH139" s="549"/>
      <c r="AI139" s="549"/>
      <c r="AJ139" s="549"/>
      <c r="AK139" s="549"/>
      <c r="AL139" s="549"/>
      <c r="AM139" s="549"/>
      <c r="AN139" s="549"/>
      <c r="AO139" s="549"/>
      <c r="AP139" s="264"/>
      <c r="AQ139" s="264"/>
      <c r="AR139" s="730"/>
      <c r="AS139" s="467"/>
      <c r="AT139" s="264"/>
      <c r="AU139" s="263"/>
      <c r="AV139" s="374">
        <v>0.2</v>
      </c>
      <c r="AW139" s="374">
        <v>0.2</v>
      </c>
      <c r="AX139" s="374">
        <v>0.2</v>
      </c>
      <c r="AY139" s="374">
        <v>0.2</v>
      </c>
      <c r="AZ139" s="374">
        <v>0.2</v>
      </c>
      <c r="BA139" s="374">
        <v>0.2</v>
      </c>
      <c r="BB139" s="374">
        <v>0.2</v>
      </c>
      <c r="BC139" s="374">
        <v>0.2</v>
      </c>
      <c r="BD139" s="374">
        <v>0.2</v>
      </c>
      <c r="BE139" s="264"/>
      <c r="BF139" s="730"/>
      <c r="BG139" s="467"/>
      <c r="BH139" s="264"/>
      <c r="BI139" s="263"/>
      <c r="BJ139" s="374">
        <v>0.2</v>
      </c>
      <c r="BK139" s="374">
        <v>0.2</v>
      </c>
      <c r="BL139" s="374">
        <v>0.2</v>
      </c>
      <c r="BM139" s="374">
        <v>0.2</v>
      </c>
      <c r="BN139" s="374">
        <v>0.2</v>
      </c>
      <c r="BO139" s="374">
        <v>0.2</v>
      </c>
      <c r="BP139" s="374">
        <v>0.2</v>
      </c>
      <c r="BQ139" s="374">
        <v>0.2</v>
      </c>
      <c r="BR139" s="374">
        <v>0.2</v>
      </c>
      <c r="BS139" s="263"/>
    </row>
    <row r="140" spans="1:71" ht="24" customHeight="1" outlineLevel="1" x14ac:dyDescent="0.2">
      <c r="A140" s="312"/>
      <c r="B140" s="546" t="s">
        <v>108</v>
      </c>
      <c r="C140" s="547" t="s">
        <v>190</v>
      </c>
      <c r="D140" s="580" t="s">
        <v>111</v>
      </c>
      <c r="E140" s="692" t="s">
        <v>112</v>
      </c>
      <c r="F140" s="457" t="s">
        <v>61</v>
      </c>
      <c r="G140" s="458" t="s">
        <v>50</v>
      </c>
      <c r="H140" s="459" t="s">
        <v>152</v>
      </c>
      <c r="I140" s="582" t="s">
        <v>249</v>
      </c>
      <c r="J140" s="453"/>
      <c r="K140" s="408"/>
      <c r="L140" s="513"/>
      <c r="M140" s="442"/>
      <c r="N140" s="264"/>
      <c r="O140" s="456"/>
      <c r="P140" s="264"/>
      <c r="Q140" s="374"/>
      <c r="R140" s="264"/>
      <c r="S140" s="548"/>
      <c r="T140" s="548"/>
      <c r="U140" s="548"/>
      <c r="V140" s="548"/>
      <c r="W140" s="548"/>
      <c r="X140" s="548"/>
      <c r="Y140" s="548"/>
      <c r="Z140" s="548"/>
      <c r="AA140" s="548"/>
      <c r="AB140" s="264"/>
      <c r="AC140" s="456"/>
      <c r="AD140" s="467"/>
      <c r="AE140" s="374"/>
      <c r="AF140" s="263"/>
      <c r="AG140" s="548"/>
      <c r="AH140" s="548"/>
      <c r="AI140" s="548"/>
      <c r="AJ140" s="548"/>
      <c r="AK140" s="548"/>
      <c r="AL140" s="548"/>
      <c r="AM140" s="548"/>
      <c r="AN140" s="548"/>
      <c r="AO140" s="548"/>
      <c r="AP140" s="264"/>
      <c r="AQ140" s="264"/>
      <c r="AR140" s="456"/>
      <c r="AS140" s="467"/>
      <c r="AT140" s="374">
        <v>0.2</v>
      </c>
      <c r="AU140" s="263"/>
      <c r="AV140" s="419">
        <f>(1+Sensitivity_Term_channels)*(FE_Standard_Sys_Effort*(1+PM_Overhead)*$AT140)</f>
        <v>13.200000000000001</v>
      </c>
      <c r="AW140" s="419">
        <f>(1+Sensitivity_Term_channels)*(FE_Standard_Sys_Effort*(1+PM_Overhead)*$AT140)</f>
        <v>13.200000000000001</v>
      </c>
      <c r="AX140" s="419">
        <f>(1+Sensitivity_Term_channels)*(FE_Standard_Sys_Effort*(1+PM_Overhead)*$AT140)</f>
        <v>13.200000000000001</v>
      </c>
      <c r="AY140" s="419">
        <f>(1+Sensitivity_Term_channels)*(FE_Standard_Sys_Effort*(1+PM_Overhead)*$AT140)</f>
        <v>13.200000000000001</v>
      </c>
      <c r="AZ140" s="419">
        <f>(1+Sensitivity_Term_channels)*0</f>
        <v>0</v>
      </c>
      <c r="BA140" s="419">
        <f>(1+Sensitivity_Term_channels)*0</f>
        <v>0</v>
      </c>
      <c r="BB140" s="419">
        <f>(1+Sensitivity_Term_channels)*(FE_Standard_Sys_Effort*(1+PM_Overhead)*$AT140)*TierC_TierB_ratio</f>
        <v>6.6000000000000005</v>
      </c>
      <c r="BC140" s="419">
        <f>(1+Sensitivity_Term_channels)*0</f>
        <v>0</v>
      </c>
      <c r="BD140" s="419">
        <f>BB140</f>
        <v>6.6000000000000005</v>
      </c>
      <c r="BE140" s="264"/>
      <c r="BF140" s="456"/>
      <c r="BG140" s="467"/>
      <c r="BH140" s="374">
        <v>0.2</v>
      </c>
      <c r="BI140" s="263"/>
      <c r="BJ140" s="419">
        <f>(1+Sensitivity_Term_channels)*(FE_Standard_Sys_Effort*(1+PM_Overhead)*$AT140)</f>
        <v>13.200000000000001</v>
      </c>
      <c r="BK140" s="419">
        <f>(1+Sensitivity_Term_channels)*(FE_Standard_Sys_Effort*(1+PM_Overhead)*$AT140)</f>
        <v>13.200000000000001</v>
      </c>
      <c r="BL140" s="419">
        <f>(1+Sensitivity_Term_channels)*(FE_Standard_Sys_Effort*(1+PM_Overhead)*$AT140)</f>
        <v>13.200000000000001</v>
      </c>
      <c r="BM140" s="419">
        <f>(1+Sensitivity_Term_channels)*(FE_Standard_Sys_Effort*(1+PM_Overhead)*$AT140)</f>
        <v>13.200000000000001</v>
      </c>
      <c r="BN140" s="419">
        <f>(1+Sensitivity_Term_channels)*0</f>
        <v>0</v>
      </c>
      <c r="BO140" s="419">
        <f>(1+Sensitivity_Term_channels)*0</f>
        <v>0</v>
      </c>
      <c r="BP140" s="419">
        <f>(1+Sensitivity_Term_channels)*(FE_Standard_Sys_Effort*(1+PM_Overhead)*$AT140)*TierC_TierB_ratio</f>
        <v>6.6000000000000005</v>
      </c>
      <c r="BQ140" s="419">
        <f>(1+Sensitivity_Term_channels)*0</f>
        <v>0</v>
      </c>
      <c r="BR140" s="419">
        <f>BP140</f>
        <v>6.6000000000000005</v>
      </c>
      <c r="BS140" s="263"/>
    </row>
    <row r="141" spans="1:71" ht="24" customHeight="1" outlineLevel="1" x14ac:dyDescent="0.2">
      <c r="A141" s="312"/>
      <c r="B141" s="546" t="s">
        <v>108</v>
      </c>
      <c r="C141" s="547" t="s">
        <v>190</v>
      </c>
      <c r="D141" s="580" t="s">
        <v>111</v>
      </c>
      <c r="E141" s="692" t="s">
        <v>112</v>
      </c>
      <c r="F141" s="457" t="s">
        <v>30</v>
      </c>
      <c r="G141" s="458" t="s">
        <v>50</v>
      </c>
      <c r="H141" s="459" t="s">
        <v>119</v>
      </c>
      <c r="I141" s="584"/>
      <c r="J141" s="453"/>
      <c r="K141" s="408"/>
      <c r="L141" s="513"/>
      <c r="M141" s="422"/>
      <c r="N141" s="264"/>
      <c r="O141" s="456"/>
      <c r="P141" s="264"/>
      <c r="Q141" s="264"/>
      <c r="R141" s="264"/>
      <c r="S141" s="548"/>
      <c r="T141" s="548"/>
      <c r="U141" s="548"/>
      <c r="V141" s="548"/>
      <c r="W141" s="548"/>
      <c r="X141" s="548"/>
      <c r="Y141" s="548"/>
      <c r="Z141" s="548"/>
      <c r="AA141" s="548"/>
      <c r="AB141" s="264"/>
      <c r="AC141" s="456"/>
      <c r="AD141" s="467"/>
      <c r="AE141" s="264"/>
      <c r="AF141" s="263"/>
      <c r="AG141" s="548"/>
      <c r="AH141" s="548"/>
      <c r="AI141" s="548"/>
      <c r="AJ141" s="548"/>
      <c r="AK141" s="548"/>
      <c r="AL141" s="548"/>
      <c r="AM141" s="548"/>
      <c r="AN141" s="548"/>
      <c r="AO141" s="548"/>
      <c r="AP141" s="264"/>
      <c r="AQ141" s="264"/>
      <c r="AR141" s="456"/>
      <c r="AS141" s="467"/>
      <c r="AT141" s="374">
        <v>0</v>
      </c>
      <c r="AU141" s="263"/>
      <c r="AV141" s="419">
        <f>(1+Sensitivity_Term_channels)*0</f>
        <v>0</v>
      </c>
      <c r="AW141" s="419">
        <f>(1+Sensitivity_Term_channels)*0</f>
        <v>0</v>
      </c>
      <c r="AX141" s="419">
        <f>(1+Sensitivity_Term_channels)*0</f>
        <v>0</v>
      </c>
      <c r="AY141" s="419">
        <f>(1+Sensitivity_Term_channels)*0</f>
        <v>0</v>
      </c>
      <c r="AZ141" s="419">
        <f>(1+Sensitivity_Term_channels)*0</f>
        <v>0</v>
      </c>
      <c r="BA141" s="419">
        <f>(1+Sensitivity_Term_channels)*0</f>
        <v>0</v>
      </c>
      <c r="BB141" s="419">
        <f>(1+Sensitivity_Term_channels)*0</f>
        <v>0</v>
      </c>
      <c r="BC141" s="419">
        <f>(1+Sensitivity_Term_channels)*0</f>
        <v>0</v>
      </c>
      <c r="BD141" s="419">
        <f>(1+Sensitivity_Term_channels)*0</f>
        <v>0</v>
      </c>
      <c r="BE141" s="264"/>
      <c r="BF141" s="456"/>
      <c r="BG141" s="467"/>
      <c r="BH141" s="374">
        <v>0</v>
      </c>
      <c r="BI141" s="263"/>
      <c r="BJ141" s="419">
        <f>(1+Sensitivity_Term_channels)*0</f>
        <v>0</v>
      </c>
      <c r="BK141" s="419">
        <f>(1+Sensitivity_Term_channels)*0</f>
        <v>0</v>
      </c>
      <c r="BL141" s="419">
        <f>(1+Sensitivity_Term_channels)*0</f>
        <v>0</v>
      </c>
      <c r="BM141" s="419">
        <f>(1+Sensitivity_Term_channels)*0</f>
        <v>0</v>
      </c>
      <c r="BN141" s="419">
        <f>(1+Sensitivity_Term_channels)*0</f>
        <v>0</v>
      </c>
      <c r="BO141" s="419">
        <f>(1+Sensitivity_Term_channels)*0</f>
        <v>0</v>
      </c>
      <c r="BP141" s="419">
        <f>(1+Sensitivity_Term_channels)*0</f>
        <v>0</v>
      </c>
      <c r="BQ141" s="419">
        <f>(1+Sensitivity_Term_channels)*0</f>
        <v>0</v>
      </c>
      <c r="BR141" s="419">
        <f>(1+Sensitivity_Term_channels)*0</f>
        <v>0</v>
      </c>
      <c r="BS141" s="263"/>
    </row>
    <row r="142" spans="1:71" ht="24" customHeight="1" outlineLevel="1" x14ac:dyDescent="0.2">
      <c r="A142" s="312"/>
      <c r="B142" s="546" t="s">
        <v>108</v>
      </c>
      <c r="C142" s="547" t="s">
        <v>190</v>
      </c>
      <c r="D142" s="580" t="s">
        <v>111</v>
      </c>
      <c r="E142" s="692" t="s">
        <v>112</v>
      </c>
      <c r="F142" s="457" t="s">
        <v>49</v>
      </c>
      <c r="G142" s="458" t="s">
        <v>47</v>
      </c>
      <c r="H142" s="459" t="s">
        <v>120</v>
      </c>
      <c r="I142" s="586"/>
      <c r="J142" s="453"/>
      <c r="K142" s="408"/>
      <c r="L142" s="513"/>
      <c r="M142" s="422"/>
      <c r="N142" s="264"/>
      <c r="O142" s="456"/>
      <c r="P142" s="264"/>
      <c r="Q142" s="264"/>
      <c r="R142" s="264"/>
      <c r="S142" s="549"/>
      <c r="T142" s="549"/>
      <c r="U142" s="549"/>
      <c r="V142" s="549"/>
      <c r="W142" s="549"/>
      <c r="X142" s="549"/>
      <c r="Y142" s="549"/>
      <c r="Z142" s="549"/>
      <c r="AA142" s="549"/>
      <c r="AB142" s="264"/>
      <c r="AC142" s="456"/>
      <c r="AD142" s="467"/>
      <c r="AE142" s="264"/>
      <c r="AF142" s="263"/>
      <c r="AG142" s="549"/>
      <c r="AH142" s="549"/>
      <c r="AI142" s="549"/>
      <c r="AJ142" s="549"/>
      <c r="AK142" s="549"/>
      <c r="AL142" s="549"/>
      <c r="AM142" s="549"/>
      <c r="AN142" s="549"/>
      <c r="AO142" s="549"/>
      <c r="AP142" s="264"/>
      <c r="AQ142" s="264"/>
      <c r="AR142" s="456"/>
      <c r="AS142" s="467"/>
      <c r="AT142" s="264"/>
      <c r="AU142" s="263"/>
      <c r="AV142" s="374">
        <v>0.2</v>
      </c>
      <c r="AW142" s="374">
        <v>0.2</v>
      </c>
      <c r="AX142" s="374">
        <v>0.2</v>
      </c>
      <c r="AY142" s="374">
        <v>0.2</v>
      </c>
      <c r="AZ142" s="374">
        <v>0.2</v>
      </c>
      <c r="BA142" s="374">
        <v>0.2</v>
      </c>
      <c r="BB142" s="374">
        <v>0.2</v>
      </c>
      <c r="BC142" s="374">
        <v>0.2</v>
      </c>
      <c r="BD142" s="374">
        <v>0.2</v>
      </c>
      <c r="BE142" s="264"/>
      <c r="BF142" s="456"/>
      <c r="BG142" s="467"/>
      <c r="BH142" s="264"/>
      <c r="BI142" s="263"/>
      <c r="BJ142" s="374">
        <v>0.2</v>
      </c>
      <c r="BK142" s="374">
        <v>0.2</v>
      </c>
      <c r="BL142" s="374">
        <v>0.2</v>
      </c>
      <c r="BM142" s="374">
        <v>0.2</v>
      </c>
      <c r="BN142" s="374">
        <v>0.2</v>
      </c>
      <c r="BO142" s="374">
        <v>0.2</v>
      </c>
      <c r="BP142" s="374">
        <v>0.2</v>
      </c>
      <c r="BQ142" s="374">
        <v>0.2</v>
      </c>
      <c r="BR142" s="374">
        <v>0.2</v>
      </c>
      <c r="BS142" s="263"/>
    </row>
    <row r="143" spans="1:71" s="135" customFormat="1" ht="24" customHeight="1" outlineLevel="1" x14ac:dyDescent="0.2">
      <c r="A143" s="315"/>
      <c r="B143" s="437"/>
      <c r="C143" s="171"/>
      <c r="D143" s="560"/>
      <c r="E143" s="265"/>
      <c r="F143" s="587"/>
      <c r="G143" s="587"/>
      <c r="H143" s="484" t="s">
        <v>204</v>
      </c>
      <c r="I143" s="467"/>
      <c r="J143" s="488"/>
      <c r="K143" s="467"/>
      <c r="L143" s="467"/>
      <c r="M143" s="467"/>
      <c r="N143" s="264"/>
      <c r="O143" s="467"/>
      <c r="P143" s="264"/>
      <c r="Q143" s="264"/>
      <c r="R143" s="264"/>
      <c r="S143" s="588"/>
      <c r="T143" s="588"/>
      <c r="U143" s="588"/>
      <c r="V143" s="588"/>
      <c r="W143" s="588"/>
      <c r="X143" s="588"/>
      <c r="Y143" s="588"/>
      <c r="Z143" s="588"/>
      <c r="AA143" s="588"/>
      <c r="AB143" s="264"/>
      <c r="AC143" s="467"/>
      <c r="AD143" s="467"/>
      <c r="AE143" s="264"/>
      <c r="AF143" s="264"/>
      <c r="AG143" s="588"/>
      <c r="AH143" s="588"/>
      <c r="AI143" s="588"/>
      <c r="AJ143" s="588"/>
      <c r="AK143" s="588"/>
      <c r="AL143" s="588"/>
      <c r="AM143" s="588"/>
      <c r="AN143" s="588"/>
      <c r="AO143" s="588"/>
      <c r="AP143" s="264"/>
      <c r="AQ143" s="264"/>
      <c r="AR143" s="467"/>
      <c r="AS143" s="467"/>
      <c r="AT143" s="527">
        <f>SUMIF($H$125:$H$142,$H$125,AT$125:AT$142)</f>
        <v>1</v>
      </c>
      <c r="AU143" s="265"/>
      <c r="AV143" s="588">
        <f>SUMIF($H$125:$H$142,$H$125,AV$125:AV$142)</f>
        <v>66</v>
      </c>
      <c r="AW143" s="588">
        <f t="shared" ref="AW143:BD143" si="156">SUMIF($H$125:$H$142,$H$125,AW$125:AW$142)</f>
        <v>66</v>
      </c>
      <c r="AX143" s="588">
        <f t="shared" si="156"/>
        <v>66</v>
      </c>
      <c r="AY143" s="588">
        <f t="shared" si="156"/>
        <v>66</v>
      </c>
      <c r="AZ143" s="588">
        <f t="shared" si="156"/>
        <v>0</v>
      </c>
      <c r="BA143" s="588">
        <f t="shared" si="156"/>
        <v>0</v>
      </c>
      <c r="BB143" s="588">
        <f t="shared" si="156"/>
        <v>33</v>
      </c>
      <c r="BC143" s="588">
        <f t="shared" si="156"/>
        <v>0</v>
      </c>
      <c r="BD143" s="588">
        <f t="shared" si="156"/>
        <v>33</v>
      </c>
      <c r="BE143" s="264"/>
      <c r="BF143" s="467"/>
      <c r="BG143" s="467"/>
      <c r="BH143" s="527">
        <f>SUMIF($H$125:$H$142,$H$125,BH$125:BH$142)</f>
        <v>1</v>
      </c>
      <c r="BI143" s="265"/>
      <c r="BJ143" s="588">
        <f>SUMIF($H$125:$H$142,$H$125,BJ$125:BJ$142)</f>
        <v>66</v>
      </c>
      <c r="BK143" s="588">
        <f t="shared" ref="BK143:BR143" si="157">SUMIF($H$125:$H$142,$H$125,BK$125:BK$142)</f>
        <v>66</v>
      </c>
      <c r="BL143" s="588">
        <f t="shared" si="157"/>
        <v>66</v>
      </c>
      <c r="BM143" s="588">
        <f t="shared" si="157"/>
        <v>66</v>
      </c>
      <c r="BN143" s="588">
        <f t="shared" si="157"/>
        <v>0</v>
      </c>
      <c r="BO143" s="588">
        <f t="shared" si="157"/>
        <v>0</v>
      </c>
      <c r="BP143" s="588">
        <f t="shared" si="157"/>
        <v>33</v>
      </c>
      <c r="BQ143" s="588">
        <f t="shared" si="157"/>
        <v>0</v>
      </c>
      <c r="BR143" s="588">
        <f t="shared" si="157"/>
        <v>33</v>
      </c>
      <c r="BS143" s="264"/>
    </row>
    <row r="144" spans="1:71" s="268" customFormat="1" ht="24" customHeight="1" outlineLevel="1" x14ac:dyDescent="0.2">
      <c r="A144" s="315"/>
      <c r="B144" s="437"/>
      <c r="C144" s="171"/>
      <c r="D144" s="560"/>
      <c r="E144" s="265"/>
      <c r="F144" s="587"/>
      <c r="G144" s="587"/>
      <c r="H144" s="484" t="s">
        <v>423</v>
      </c>
      <c r="I144" s="467"/>
      <c r="J144" s="488"/>
      <c r="K144" s="467"/>
      <c r="L144" s="467"/>
      <c r="M144" s="467"/>
      <c r="N144" s="264"/>
      <c r="O144" s="467"/>
      <c r="P144" s="264"/>
      <c r="Q144" s="264"/>
      <c r="R144" s="264"/>
      <c r="S144" s="588"/>
      <c r="T144" s="588"/>
      <c r="U144" s="588"/>
      <c r="V144" s="588"/>
      <c r="W144" s="588"/>
      <c r="X144" s="588"/>
      <c r="Y144" s="588"/>
      <c r="Z144" s="588"/>
      <c r="AA144" s="588"/>
      <c r="AB144" s="264"/>
      <c r="AC144" s="467"/>
      <c r="AD144" s="467"/>
      <c r="AE144" s="264"/>
      <c r="AF144" s="264"/>
      <c r="AG144" s="588"/>
      <c r="AH144" s="588"/>
      <c r="AI144" s="588"/>
      <c r="AJ144" s="588"/>
      <c r="AK144" s="588"/>
      <c r="AL144" s="588"/>
      <c r="AM144" s="588"/>
      <c r="AN144" s="588"/>
      <c r="AO144" s="588"/>
      <c r="AP144" s="264"/>
      <c r="AQ144" s="264"/>
      <c r="AR144" s="467"/>
      <c r="AS144" s="467"/>
      <c r="AT144" s="527">
        <f>SUMIF($H$125:$H$142,$H$126,AT$125:AT$142)</f>
        <v>0</v>
      </c>
      <c r="AU144" s="264"/>
      <c r="AV144" s="589">
        <f>SUMIF($H$125:$H$142,$H$126,AV$125:AV$142)</f>
        <v>0</v>
      </c>
      <c r="AW144" s="589">
        <f t="shared" ref="AW144:BD144" si="158">SUMIF($H$125:$H$142,$H$126,AW$125:AW$142)</f>
        <v>0</v>
      </c>
      <c r="AX144" s="589">
        <f t="shared" si="158"/>
        <v>0</v>
      </c>
      <c r="AY144" s="589">
        <f t="shared" si="158"/>
        <v>0</v>
      </c>
      <c r="AZ144" s="589">
        <f t="shared" si="158"/>
        <v>0</v>
      </c>
      <c r="BA144" s="589">
        <f t="shared" si="158"/>
        <v>0</v>
      </c>
      <c r="BB144" s="589">
        <f t="shared" si="158"/>
        <v>0</v>
      </c>
      <c r="BC144" s="589">
        <f t="shared" si="158"/>
        <v>0</v>
      </c>
      <c r="BD144" s="589">
        <f t="shared" si="158"/>
        <v>0</v>
      </c>
      <c r="BE144" s="264"/>
      <c r="BF144" s="467"/>
      <c r="BG144" s="467"/>
      <c r="BH144" s="527">
        <f>SUMIF($H$125:$H$142,$H$126,BH$125:BH$142)</f>
        <v>0</v>
      </c>
      <c r="BI144" s="264"/>
      <c r="BJ144" s="589">
        <f>SUMIF($H$125:$H$142,$H$126,BJ$125:BJ$142)</f>
        <v>0</v>
      </c>
      <c r="BK144" s="589">
        <f t="shared" ref="BK144:BR144" si="159">SUMIF($H$125:$H$142,$H$126,BK$125:BK$142)</f>
        <v>0</v>
      </c>
      <c r="BL144" s="589">
        <f t="shared" si="159"/>
        <v>0</v>
      </c>
      <c r="BM144" s="589">
        <f t="shared" si="159"/>
        <v>0</v>
      </c>
      <c r="BN144" s="589">
        <f t="shared" si="159"/>
        <v>0</v>
      </c>
      <c r="BO144" s="589">
        <f t="shared" si="159"/>
        <v>0</v>
      </c>
      <c r="BP144" s="589">
        <f t="shared" si="159"/>
        <v>0</v>
      </c>
      <c r="BQ144" s="589">
        <f t="shared" si="159"/>
        <v>0</v>
      </c>
      <c r="BR144" s="589">
        <f t="shared" si="159"/>
        <v>0</v>
      </c>
      <c r="BS144" s="264"/>
    </row>
    <row r="145" spans="1:71" s="135" customFormat="1" ht="24" customHeight="1" x14ac:dyDescent="0.2">
      <c r="A145" s="315"/>
      <c r="B145" s="437"/>
      <c r="C145" s="171"/>
      <c r="D145" s="560"/>
      <c r="E145" s="265"/>
      <c r="F145" s="587"/>
      <c r="G145" s="587"/>
      <c r="H145" s="488"/>
      <c r="I145" s="467"/>
      <c r="J145" s="488"/>
      <c r="K145" s="467"/>
      <c r="L145" s="467"/>
      <c r="M145" s="467"/>
      <c r="N145" s="264"/>
      <c r="O145" s="467"/>
      <c r="P145" s="264"/>
      <c r="Q145" s="264"/>
      <c r="R145" s="264"/>
      <c r="S145" s="590"/>
      <c r="T145" s="590"/>
      <c r="U145" s="590"/>
      <c r="V145" s="590"/>
      <c r="W145" s="590"/>
      <c r="X145" s="590"/>
      <c r="Y145" s="590"/>
      <c r="Z145" s="590"/>
      <c r="AA145" s="590"/>
      <c r="AB145" s="264"/>
      <c r="AC145" s="467"/>
      <c r="AD145" s="467"/>
      <c r="AE145" s="264"/>
      <c r="AF145" s="264"/>
      <c r="AG145" s="590"/>
      <c r="AH145" s="590"/>
      <c r="AI145" s="590"/>
      <c r="AJ145" s="590"/>
      <c r="AK145" s="590"/>
      <c r="AL145" s="590"/>
      <c r="AM145" s="590"/>
      <c r="AN145" s="590"/>
      <c r="AO145" s="590"/>
      <c r="AP145" s="264"/>
      <c r="AQ145" s="264"/>
      <c r="AR145" s="467"/>
      <c r="AS145" s="488"/>
      <c r="AT145" s="264"/>
      <c r="AU145" s="488"/>
      <c r="AV145" s="391"/>
      <c r="AW145" s="391"/>
      <c r="AX145" s="391"/>
      <c r="AY145" s="391"/>
      <c r="AZ145" s="391"/>
      <c r="BA145" s="391"/>
      <c r="BB145" s="391"/>
      <c r="BC145" s="391"/>
      <c r="BD145" s="391"/>
      <c r="BE145" s="264"/>
      <c r="BF145" s="467"/>
      <c r="BG145" s="488"/>
      <c r="BH145" s="264"/>
      <c r="BI145" s="488"/>
      <c r="BJ145" s="391"/>
      <c r="BK145" s="391"/>
      <c r="BL145" s="391"/>
      <c r="BM145" s="391"/>
      <c r="BN145" s="391"/>
      <c r="BO145" s="391"/>
      <c r="BP145" s="391"/>
      <c r="BQ145" s="391"/>
      <c r="BR145" s="391"/>
      <c r="BS145" s="264"/>
    </row>
    <row r="146" spans="1:71" ht="159" customHeight="1" x14ac:dyDescent="0.2">
      <c r="A146" s="312"/>
      <c r="B146" s="396"/>
      <c r="C146" s="396" t="s">
        <v>108</v>
      </c>
      <c r="D146" s="397" t="s">
        <v>185</v>
      </c>
      <c r="E146" s="397"/>
      <c r="F146" s="397"/>
      <c r="G146" s="397"/>
      <c r="H146" s="539" t="s">
        <v>510</v>
      </c>
      <c r="I146" s="540"/>
      <c r="J146" s="398"/>
      <c r="K146" s="396"/>
      <c r="L146" s="396"/>
      <c r="M146" s="396"/>
      <c r="N146" s="398"/>
      <c r="O146" s="541"/>
      <c r="P146" s="398"/>
      <c r="Q146" s="398"/>
      <c r="R146" s="398"/>
      <c r="S146" s="543"/>
      <c r="T146" s="543"/>
      <c r="U146" s="543"/>
      <c r="V146" s="543"/>
      <c r="W146" s="543"/>
      <c r="X146" s="543"/>
      <c r="Y146" s="543"/>
      <c r="Z146" s="543"/>
      <c r="AA146" s="543"/>
      <c r="AB146" s="398"/>
      <c r="AC146" s="541"/>
      <c r="AD146" s="398"/>
      <c r="AE146" s="398"/>
      <c r="AF146" s="396"/>
      <c r="AG146" s="543"/>
      <c r="AH146" s="543"/>
      <c r="AI146" s="543"/>
      <c r="AJ146" s="543"/>
      <c r="AK146" s="543"/>
      <c r="AL146" s="543"/>
      <c r="AM146" s="543"/>
      <c r="AN146" s="543"/>
      <c r="AO146" s="543"/>
      <c r="AP146" s="264"/>
      <c r="AQ146" s="264"/>
      <c r="AR146" s="541"/>
      <c r="AS146" s="398"/>
      <c r="AT146" s="398"/>
      <c r="AU146" s="396"/>
      <c r="AV146" s="396"/>
      <c r="AW146" s="396"/>
      <c r="AX146" s="396"/>
      <c r="AY146" s="396"/>
      <c r="AZ146" s="396"/>
      <c r="BA146" s="396"/>
      <c r="BB146" s="396"/>
      <c r="BC146" s="396"/>
      <c r="BD146" s="396"/>
      <c r="BE146" s="264"/>
      <c r="BF146" s="541"/>
      <c r="BG146" s="398"/>
      <c r="BH146" s="398"/>
      <c r="BI146" s="396"/>
      <c r="BJ146" s="396"/>
      <c r="BK146" s="396"/>
      <c r="BL146" s="396"/>
      <c r="BM146" s="396"/>
      <c r="BN146" s="396"/>
      <c r="BO146" s="396"/>
      <c r="BP146" s="396"/>
      <c r="BQ146" s="396"/>
      <c r="BR146" s="396"/>
      <c r="BS146" s="263"/>
    </row>
    <row r="147" spans="1:71" ht="12.75" outlineLevel="1" x14ac:dyDescent="0.2">
      <c r="A147" s="312"/>
      <c r="B147" s="263"/>
      <c r="C147" s="263"/>
      <c r="D147" s="263"/>
      <c r="E147" s="263"/>
      <c r="F147" s="263"/>
      <c r="G147" s="506"/>
      <c r="H147" s="263"/>
      <c r="I147" s="345"/>
      <c r="J147" s="264"/>
      <c r="K147" s="345"/>
      <c r="L147" s="345"/>
      <c r="M147" s="345"/>
      <c r="N147" s="264"/>
      <c r="O147" s="345"/>
      <c r="P147" s="264"/>
      <c r="Q147" s="264"/>
      <c r="R147" s="264"/>
      <c r="S147" s="591"/>
      <c r="T147" s="591"/>
      <c r="U147" s="591"/>
      <c r="V147" s="591"/>
      <c r="W147" s="591"/>
      <c r="X147" s="591"/>
      <c r="Y147" s="591"/>
      <c r="Z147" s="591"/>
      <c r="AA147" s="591"/>
      <c r="AB147" s="264"/>
      <c r="AC147" s="345"/>
      <c r="AD147" s="508"/>
      <c r="AE147" s="264"/>
      <c r="AF147" s="263"/>
      <c r="AG147" s="591"/>
      <c r="AH147" s="591"/>
      <c r="AI147" s="591"/>
      <c r="AJ147" s="591"/>
      <c r="AK147" s="591"/>
      <c r="AL147" s="591"/>
      <c r="AM147" s="591"/>
      <c r="AN147" s="591"/>
      <c r="AO147" s="591"/>
      <c r="AP147" s="264"/>
      <c r="AQ147" s="264"/>
      <c r="AR147" s="345"/>
      <c r="AS147" s="508"/>
      <c r="AT147" s="264"/>
      <c r="AU147" s="263"/>
      <c r="AV147" s="263"/>
      <c r="AW147" s="263"/>
      <c r="AX147" s="263"/>
      <c r="AY147" s="263"/>
      <c r="AZ147" s="263"/>
      <c r="BA147" s="263"/>
      <c r="BB147" s="263"/>
      <c r="BC147" s="263"/>
      <c r="BD147" s="263"/>
      <c r="BE147" s="264"/>
      <c r="BF147" s="345"/>
      <c r="BG147" s="508"/>
      <c r="BH147" s="264"/>
      <c r="BI147" s="263"/>
      <c r="BJ147" s="263"/>
      <c r="BK147" s="263"/>
      <c r="BL147" s="263"/>
      <c r="BM147" s="263"/>
      <c r="BN147" s="263"/>
      <c r="BO147" s="263"/>
      <c r="BP147" s="263"/>
      <c r="BQ147" s="263"/>
      <c r="BR147" s="263"/>
      <c r="BS147" s="263"/>
    </row>
    <row r="148" spans="1:71" ht="24" customHeight="1" outlineLevel="1" x14ac:dyDescent="0.2">
      <c r="A148" s="400"/>
      <c r="B148" s="546" t="s">
        <v>108</v>
      </c>
      <c r="C148" s="547" t="s">
        <v>161</v>
      </c>
      <c r="D148" s="470" t="s">
        <v>109</v>
      </c>
      <c r="E148" s="413" t="s">
        <v>175</v>
      </c>
      <c r="F148" s="457" t="s">
        <v>51</v>
      </c>
      <c r="G148" s="456" t="s">
        <v>50</v>
      </c>
      <c r="H148" s="592" t="s">
        <v>214</v>
      </c>
      <c r="I148" s="744" t="s">
        <v>237</v>
      </c>
      <c r="J148" s="411"/>
      <c r="K148" s="440"/>
      <c r="L148" s="440"/>
      <c r="M148" s="440"/>
      <c r="N148" s="93"/>
      <c r="O148" s="579" t="s">
        <v>226</v>
      </c>
      <c r="P148" s="93"/>
      <c r="Q148" s="374">
        <v>0.25</v>
      </c>
      <c r="R148" s="93"/>
      <c r="S148" s="419">
        <f>(1+Sensitivity_Rec_Consent)*(Standard_Process_Effort*(1+PM_Overhead)*$Q148)</f>
        <v>8.25</v>
      </c>
      <c r="T148" s="419">
        <f>(1+Sensitivity_Rec_Consent)*(Standard_Process_Effort*(1+PM_Overhead)*$Q148)</f>
        <v>8.25</v>
      </c>
      <c r="U148" s="419">
        <f>(1+Sensitivity_Rec_Consent)*(Standard_Process_Effort*(1+PM_Overhead)*$Q148)</f>
        <v>8.25</v>
      </c>
      <c r="V148" s="419">
        <f>(1+Sensitivity_Rec_Consent)*(Standard_Process_Effort*(1+PM_Overhead)*$Q148)</f>
        <v>8.25</v>
      </c>
      <c r="W148" s="419">
        <f>(1+Sensitivity_Rec_Consent)*0</f>
        <v>0</v>
      </c>
      <c r="X148" s="419">
        <f>(1+Sensitivity_Rec_Consent)*0</f>
        <v>0</v>
      </c>
      <c r="Y148" s="419">
        <f>(1+Sensitivity_Rec_Consent)*(Standard_Process_Effort*(1+PM_Overhead)*$Q148)*TierC_TierB_ratio</f>
        <v>4.125</v>
      </c>
      <c r="Z148" s="419">
        <f>Y148</f>
        <v>4.125</v>
      </c>
      <c r="AA148" s="419">
        <f>(1+Sensitivity_Rec_Consent)*0</f>
        <v>0</v>
      </c>
      <c r="AB148" s="93"/>
      <c r="AC148" s="579" t="s">
        <v>226</v>
      </c>
      <c r="AD148" s="440"/>
      <c r="AE148" s="374">
        <v>0.25</v>
      </c>
      <c r="AF148" s="158"/>
      <c r="AG148" s="419">
        <f>(1+Sensitivity_Rec_Consent)*(Standard_Process_Effort*(1+PM_Overhead)*$AE148)</f>
        <v>8.25</v>
      </c>
      <c r="AH148" s="419">
        <f>(1+Sensitivity_Rec_Consent)*(Standard_Process_Effort*(1+PM_Overhead)*$AE148)</f>
        <v>8.25</v>
      </c>
      <c r="AI148" s="419">
        <f>(1+Sensitivity_Rec_Consent)*(Standard_Process_Effort*(1+PM_Overhead)*$AE148)</f>
        <v>8.25</v>
      </c>
      <c r="AJ148" s="419">
        <f>(1+Sensitivity_Rec_Consent)*(Standard_Process_Effort*(1+PM_Overhead)*$AE148)</f>
        <v>8.25</v>
      </c>
      <c r="AK148" s="419">
        <f>(1+Sensitivity_Rec_Consent)*0</f>
        <v>0</v>
      </c>
      <c r="AL148" s="419">
        <f>(1+Sensitivity_Rec_Consent)*0</f>
        <v>0</v>
      </c>
      <c r="AM148" s="419">
        <f>(1+Sensitivity_Rec_Consent)*(Standard_Process_Effort*(1+PM_Overhead)*$AE148)*TierC_TierB_ratio</f>
        <v>4.125</v>
      </c>
      <c r="AN148" s="419">
        <f>AM148</f>
        <v>4.125</v>
      </c>
      <c r="AO148" s="419">
        <f>(1+Sensitivity_Rec_Consent)*0</f>
        <v>0</v>
      </c>
      <c r="AP148" s="264"/>
      <c r="AQ148" s="264"/>
      <c r="AR148" s="579" t="s">
        <v>226</v>
      </c>
      <c r="AS148" s="440"/>
      <c r="AT148" s="374">
        <v>0.25</v>
      </c>
      <c r="AU148" s="158"/>
      <c r="AV148" s="419">
        <f>(1+Sensitivity_Rec_Consent)*(Standard_Process_Effort*(1+PM_Overhead)*$AT148)</f>
        <v>8.25</v>
      </c>
      <c r="AW148" s="419">
        <f>(1+Sensitivity_Rec_Consent)*(Standard_Process_Effort*(1+PM_Overhead)*$AT148)</f>
        <v>8.25</v>
      </c>
      <c r="AX148" s="419">
        <f>(1+Sensitivity_Rec_Consent)*(Standard_Process_Effort*(1+PM_Overhead)*$AT148)</f>
        <v>8.25</v>
      </c>
      <c r="AY148" s="419">
        <f>(1+Sensitivity_Rec_Consent)*(Standard_Process_Effort*(1+PM_Overhead)*$AT148)</f>
        <v>8.25</v>
      </c>
      <c r="AZ148" s="419">
        <f>(1+Sensitivity_Rec_Consent)*0</f>
        <v>0</v>
      </c>
      <c r="BA148" s="419">
        <f>(1+Sensitivity_Rec_Consent)*0</f>
        <v>0</v>
      </c>
      <c r="BB148" s="419">
        <f>(1+Sensitivity_Rec_Consent)*(Standard_Process_Effort*(1+PM_Overhead)*$AT148)*TierC_TierB_ratio</f>
        <v>4.125</v>
      </c>
      <c r="BC148" s="419">
        <f>BB148</f>
        <v>4.125</v>
      </c>
      <c r="BD148" s="419">
        <f>(1+Sensitivity_Rec_Consent)*0</f>
        <v>0</v>
      </c>
      <c r="BE148" s="264"/>
      <c r="BF148" s="579" t="s">
        <v>226</v>
      </c>
      <c r="BG148" s="440"/>
      <c r="BH148" s="374">
        <v>0.25</v>
      </c>
      <c r="BI148" s="158"/>
      <c r="BJ148" s="419">
        <f>(1+Sensitivity_Rec_Consent)*(Standard_Process_Effort*(1+PM_Overhead)*$BH148)</f>
        <v>8.25</v>
      </c>
      <c r="BK148" s="419">
        <f>(1+Sensitivity_Rec_Consent)*(Standard_Process_Effort*(1+PM_Overhead)*$BH148)</f>
        <v>8.25</v>
      </c>
      <c r="BL148" s="419">
        <f>(1+Sensitivity_Rec_Consent)*(Standard_Process_Effort*(1+PM_Overhead)*$BH148)</f>
        <v>8.25</v>
      </c>
      <c r="BM148" s="419">
        <f>(1+Sensitivity_Rec_Consent)*(Standard_Process_Effort*(1+PM_Overhead)*$BH148)</f>
        <v>8.25</v>
      </c>
      <c r="BN148" s="419">
        <f>(1+Sensitivity_Rec_Consent)*0</f>
        <v>0</v>
      </c>
      <c r="BO148" s="419">
        <f>(1+Sensitivity_Rec_Consent)*0</f>
        <v>0</v>
      </c>
      <c r="BP148" s="419">
        <f>(1+Sensitivity_Rec_Consent)*(Standard_Process_Effort*(1+PM_Overhead)*$BH148)*TierC_TierB_ratio</f>
        <v>4.125</v>
      </c>
      <c r="BQ148" s="419">
        <f>BP148</f>
        <v>4.125</v>
      </c>
      <c r="BR148" s="419">
        <f>(1+Sensitivity_Rec_Consent)*0</f>
        <v>0</v>
      </c>
      <c r="BS148" s="263"/>
    </row>
    <row r="149" spans="1:71" ht="24" customHeight="1" outlineLevel="1" x14ac:dyDescent="0.2">
      <c r="A149" s="400"/>
      <c r="B149" s="546" t="s">
        <v>108</v>
      </c>
      <c r="C149" s="547" t="s">
        <v>161</v>
      </c>
      <c r="D149" s="470" t="s">
        <v>109</v>
      </c>
      <c r="E149" s="413" t="s">
        <v>175</v>
      </c>
      <c r="F149" s="457" t="s">
        <v>49</v>
      </c>
      <c r="G149" s="456" t="s">
        <v>47</v>
      </c>
      <c r="H149" s="592" t="s">
        <v>118</v>
      </c>
      <c r="I149" s="745"/>
      <c r="J149" s="411"/>
      <c r="K149" s="440"/>
      <c r="L149" s="440"/>
      <c r="M149" s="440"/>
      <c r="N149" s="93"/>
      <c r="O149" s="470"/>
      <c r="P149" s="93"/>
      <c r="Q149" s="93"/>
      <c r="R149" s="93"/>
      <c r="S149" s="374">
        <v>0.2</v>
      </c>
      <c r="T149" s="374">
        <v>0.2</v>
      </c>
      <c r="U149" s="374">
        <v>0.2</v>
      </c>
      <c r="V149" s="374">
        <v>0.2</v>
      </c>
      <c r="W149" s="374">
        <v>0.2</v>
      </c>
      <c r="X149" s="374">
        <v>0.2</v>
      </c>
      <c r="Y149" s="374">
        <v>0.2</v>
      </c>
      <c r="Z149" s="374">
        <v>0.2</v>
      </c>
      <c r="AA149" s="374">
        <v>0.2</v>
      </c>
      <c r="AB149" s="93"/>
      <c r="AC149" s="470"/>
      <c r="AD149" s="440"/>
      <c r="AE149" s="93"/>
      <c r="AF149" s="158"/>
      <c r="AG149" s="374">
        <v>0.2</v>
      </c>
      <c r="AH149" s="374">
        <v>0.2</v>
      </c>
      <c r="AI149" s="374">
        <v>0.2</v>
      </c>
      <c r="AJ149" s="374">
        <v>0.2</v>
      </c>
      <c r="AK149" s="374">
        <v>0.2</v>
      </c>
      <c r="AL149" s="374">
        <v>0.2</v>
      </c>
      <c r="AM149" s="374">
        <v>0.2</v>
      </c>
      <c r="AN149" s="374">
        <v>0.2</v>
      </c>
      <c r="AO149" s="374">
        <v>0.2</v>
      </c>
      <c r="AP149" s="264"/>
      <c r="AQ149" s="264"/>
      <c r="AR149" s="470"/>
      <c r="AS149" s="440"/>
      <c r="AT149" s="93"/>
      <c r="AU149" s="158"/>
      <c r="AV149" s="374">
        <v>0.2</v>
      </c>
      <c r="AW149" s="374">
        <v>0.2</v>
      </c>
      <c r="AX149" s="374">
        <v>0.2</v>
      </c>
      <c r="AY149" s="374">
        <v>0.2</v>
      </c>
      <c r="AZ149" s="374">
        <v>0.2</v>
      </c>
      <c r="BA149" s="374">
        <v>0.2</v>
      </c>
      <c r="BB149" s="374">
        <v>0.2</v>
      </c>
      <c r="BC149" s="374">
        <v>0.2</v>
      </c>
      <c r="BD149" s="374">
        <v>0.2</v>
      </c>
      <c r="BE149" s="264"/>
      <c r="BF149" s="470"/>
      <c r="BG149" s="440"/>
      <c r="BH149" s="93"/>
      <c r="BI149" s="158"/>
      <c r="BJ149" s="374">
        <v>0.2</v>
      </c>
      <c r="BK149" s="374">
        <v>0.2</v>
      </c>
      <c r="BL149" s="374">
        <v>0.2</v>
      </c>
      <c r="BM149" s="374">
        <v>0.2</v>
      </c>
      <c r="BN149" s="374">
        <v>0.2</v>
      </c>
      <c r="BO149" s="374">
        <v>0.2</v>
      </c>
      <c r="BP149" s="374">
        <v>0.2</v>
      </c>
      <c r="BQ149" s="374">
        <v>0.2</v>
      </c>
      <c r="BR149" s="374">
        <v>0.2</v>
      </c>
      <c r="BS149" s="263"/>
    </row>
    <row r="150" spans="1:71" ht="24" customHeight="1" outlineLevel="1" x14ac:dyDescent="0.2">
      <c r="A150" s="400"/>
      <c r="B150" s="546" t="s">
        <v>108</v>
      </c>
      <c r="C150" s="547" t="s">
        <v>161</v>
      </c>
      <c r="D150" s="470" t="s">
        <v>109</v>
      </c>
      <c r="E150" s="413" t="s">
        <v>175</v>
      </c>
      <c r="F150" s="457" t="s">
        <v>51</v>
      </c>
      <c r="G150" s="456" t="s">
        <v>50</v>
      </c>
      <c r="H150" s="592" t="s">
        <v>117</v>
      </c>
      <c r="I150" s="745"/>
      <c r="J150" s="407"/>
      <c r="K150" s="454"/>
      <c r="L150" s="454"/>
      <c r="M150" s="454"/>
      <c r="N150" s="93"/>
      <c r="O150" s="593" t="s">
        <v>196</v>
      </c>
      <c r="P150" s="93"/>
      <c r="Q150" s="374">
        <v>0.25</v>
      </c>
      <c r="R150" s="93"/>
      <c r="S150" s="419">
        <f>(1+Sensitivity_Rec_Consent)*0</f>
        <v>0</v>
      </c>
      <c r="T150" s="419">
        <f>(1+Sensitivity_Rec_Consent)*Training_Duration*$Q150</f>
        <v>0.5</v>
      </c>
      <c r="U150" s="419">
        <f t="shared" ref="U150:AA150" si="160">(1+Sensitivity_Rec_Consent)*0</f>
        <v>0</v>
      </c>
      <c r="V150" s="419">
        <f t="shared" si="160"/>
        <v>0</v>
      </c>
      <c r="W150" s="419">
        <f t="shared" si="160"/>
        <v>0</v>
      </c>
      <c r="X150" s="419">
        <f t="shared" si="160"/>
        <v>0</v>
      </c>
      <c r="Y150" s="419">
        <f t="shared" si="160"/>
        <v>0</v>
      </c>
      <c r="Z150" s="419">
        <f t="shared" si="160"/>
        <v>0</v>
      </c>
      <c r="AA150" s="419">
        <f t="shared" si="160"/>
        <v>0</v>
      </c>
      <c r="AB150" s="93"/>
      <c r="AC150" s="593" t="s">
        <v>196</v>
      </c>
      <c r="AD150" s="454"/>
      <c r="AE150" s="374">
        <v>0.25</v>
      </c>
      <c r="AF150" s="158"/>
      <c r="AG150" s="419">
        <f>(1+Sensitivity_Rec_Consent)*0</f>
        <v>0</v>
      </c>
      <c r="AH150" s="419">
        <f>(1+Sensitivity_Rec_Consent)*Training_Duration*$AE150</f>
        <v>0.5</v>
      </c>
      <c r="AI150" s="419">
        <f t="shared" ref="AI150:AO150" si="161">(1+Sensitivity_Rec_Consent)*0</f>
        <v>0</v>
      </c>
      <c r="AJ150" s="419">
        <f t="shared" si="161"/>
        <v>0</v>
      </c>
      <c r="AK150" s="419">
        <f t="shared" si="161"/>
        <v>0</v>
      </c>
      <c r="AL150" s="419">
        <f t="shared" si="161"/>
        <v>0</v>
      </c>
      <c r="AM150" s="419">
        <f t="shared" si="161"/>
        <v>0</v>
      </c>
      <c r="AN150" s="419">
        <f t="shared" si="161"/>
        <v>0</v>
      </c>
      <c r="AO150" s="419">
        <f t="shared" si="161"/>
        <v>0</v>
      </c>
      <c r="AP150" s="264"/>
      <c r="AQ150" s="264"/>
      <c r="AR150" s="593" t="s">
        <v>196</v>
      </c>
      <c r="AS150" s="454"/>
      <c r="AT150" s="374">
        <v>0.25</v>
      </c>
      <c r="AU150" s="158"/>
      <c r="AV150" s="419">
        <f>(1+Sensitivity_Rec_Consent)*0</f>
        <v>0</v>
      </c>
      <c r="AW150" s="419">
        <f>(1+Sensitivity_Rec_Consent)*Training_Duration*$AT150</f>
        <v>0.5</v>
      </c>
      <c r="AX150" s="419">
        <f t="shared" ref="AX150:BD150" si="162">(1+Sensitivity_Rec_Consent)*0</f>
        <v>0</v>
      </c>
      <c r="AY150" s="419">
        <f t="shared" si="162"/>
        <v>0</v>
      </c>
      <c r="AZ150" s="419">
        <f t="shared" si="162"/>
        <v>0</v>
      </c>
      <c r="BA150" s="419">
        <f t="shared" si="162"/>
        <v>0</v>
      </c>
      <c r="BB150" s="419">
        <f t="shared" si="162"/>
        <v>0</v>
      </c>
      <c r="BC150" s="419">
        <f t="shared" si="162"/>
        <v>0</v>
      </c>
      <c r="BD150" s="419">
        <f t="shared" si="162"/>
        <v>0</v>
      </c>
      <c r="BE150" s="264"/>
      <c r="BF150" s="593" t="s">
        <v>196</v>
      </c>
      <c r="BG150" s="454"/>
      <c r="BH150" s="374">
        <v>0.25</v>
      </c>
      <c r="BI150" s="158"/>
      <c r="BJ150" s="419">
        <f>(1+Sensitivity_Rec_Consent)*0</f>
        <v>0</v>
      </c>
      <c r="BK150" s="419">
        <f>(1+Sensitivity_Rec_Consent)*Training_Duration*$BH150</f>
        <v>0.5</v>
      </c>
      <c r="BL150" s="419">
        <f t="shared" ref="BL150:BR150" si="163">(1+Sensitivity_Rec_Consent)*0</f>
        <v>0</v>
      </c>
      <c r="BM150" s="419">
        <f t="shared" si="163"/>
        <v>0</v>
      </c>
      <c r="BN150" s="419">
        <f t="shared" si="163"/>
        <v>0</v>
      </c>
      <c r="BO150" s="419">
        <f t="shared" si="163"/>
        <v>0</v>
      </c>
      <c r="BP150" s="419">
        <f t="shared" si="163"/>
        <v>0</v>
      </c>
      <c r="BQ150" s="419">
        <f t="shared" si="163"/>
        <v>0</v>
      </c>
      <c r="BR150" s="419">
        <f t="shared" si="163"/>
        <v>0</v>
      </c>
      <c r="BS150" s="263"/>
    </row>
    <row r="151" spans="1:71" ht="24" customHeight="1" outlineLevel="1" x14ac:dyDescent="0.2">
      <c r="A151" s="400"/>
      <c r="B151" s="546" t="s">
        <v>108</v>
      </c>
      <c r="C151" s="547" t="s">
        <v>161</v>
      </c>
      <c r="D151" s="470" t="s">
        <v>109</v>
      </c>
      <c r="E151" s="413" t="s">
        <v>175</v>
      </c>
      <c r="F151" s="457" t="s">
        <v>48</v>
      </c>
      <c r="G151" s="456" t="s">
        <v>50</v>
      </c>
      <c r="H151" s="592" t="s">
        <v>116</v>
      </c>
      <c r="I151" s="746"/>
      <c r="J151" s="417"/>
      <c r="K151" s="440"/>
      <c r="L151" s="440"/>
      <c r="M151" s="440"/>
      <c r="N151" s="93"/>
      <c r="O151" s="579" t="s">
        <v>218</v>
      </c>
      <c r="P151" s="93"/>
      <c r="Q151" s="93"/>
      <c r="R151" s="93"/>
      <c r="S151" s="419">
        <v>0</v>
      </c>
      <c r="T151" s="419">
        <v>0</v>
      </c>
      <c r="U151" s="419">
        <v>0</v>
      </c>
      <c r="V151" s="419">
        <v>0</v>
      </c>
      <c r="W151" s="419">
        <v>0</v>
      </c>
      <c r="X151" s="419">
        <v>0</v>
      </c>
      <c r="Y151" s="419">
        <v>0</v>
      </c>
      <c r="Z151" s="419">
        <v>0</v>
      </c>
      <c r="AA151" s="419">
        <v>0</v>
      </c>
      <c r="AB151" s="93"/>
      <c r="AC151" s="579" t="s">
        <v>218</v>
      </c>
      <c r="AD151" s="440"/>
      <c r="AE151" s="93"/>
      <c r="AF151" s="158"/>
      <c r="AG151" s="419">
        <v>0</v>
      </c>
      <c r="AH151" s="419">
        <v>0</v>
      </c>
      <c r="AI151" s="419">
        <v>0</v>
      </c>
      <c r="AJ151" s="419">
        <v>0</v>
      </c>
      <c r="AK151" s="419">
        <v>0</v>
      </c>
      <c r="AL151" s="419">
        <v>0</v>
      </c>
      <c r="AM151" s="419">
        <v>0</v>
      </c>
      <c r="AN151" s="419">
        <v>0</v>
      </c>
      <c r="AO151" s="419">
        <v>0</v>
      </c>
      <c r="AP151" s="264"/>
      <c r="AQ151" s="264"/>
      <c r="AR151" s="579" t="s">
        <v>218</v>
      </c>
      <c r="AS151" s="440"/>
      <c r="AT151" s="93"/>
      <c r="AU151" s="158"/>
      <c r="AV151" s="419">
        <v>0</v>
      </c>
      <c r="AW151" s="419">
        <v>0</v>
      </c>
      <c r="AX151" s="419">
        <v>0</v>
      </c>
      <c r="AY151" s="419">
        <v>0</v>
      </c>
      <c r="AZ151" s="419">
        <v>0</v>
      </c>
      <c r="BA151" s="419">
        <v>0</v>
      </c>
      <c r="BB151" s="419">
        <v>0</v>
      </c>
      <c r="BC151" s="419">
        <v>0</v>
      </c>
      <c r="BD151" s="419">
        <v>0</v>
      </c>
      <c r="BE151" s="264"/>
      <c r="BF151" s="579" t="s">
        <v>218</v>
      </c>
      <c r="BG151" s="440"/>
      <c r="BH151" s="93"/>
      <c r="BI151" s="158"/>
      <c r="BJ151" s="419">
        <v>0</v>
      </c>
      <c r="BK151" s="419">
        <v>0</v>
      </c>
      <c r="BL151" s="419">
        <v>0</v>
      </c>
      <c r="BM151" s="419">
        <v>0</v>
      </c>
      <c r="BN151" s="419">
        <v>0</v>
      </c>
      <c r="BO151" s="419">
        <v>0</v>
      </c>
      <c r="BP151" s="419">
        <v>0</v>
      </c>
      <c r="BQ151" s="419">
        <v>0</v>
      </c>
      <c r="BR151" s="419">
        <v>0</v>
      </c>
      <c r="BS151" s="263"/>
    </row>
    <row r="152" spans="1:71" ht="24" customHeight="1" outlineLevel="1" x14ac:dyDescent="0.2">
      <c r="A152" s="400"/>
      <c r="B152" s="437" t="s">
        <v>108</v>
      </c>
      <c r="C152" s="171" t="s">
        <v>161</v>
      </c>
      <c r="D152" s="432" t="s">
        <v>109</v>
      </c>
      <c r="E152" s="426" t="s">
        <v>149</v>
      </c>
      <c r="F152" s="422" t="s">
        <v>51</v>
      </c>
      <c r="G152" s="426" t="s">
        <v>50</v>
      </c>
      <c r="H152" s="594" t="s">
        <v>214</v>
      </c>
      <c r="I152" s="747" t="s">
        <v>180</v>
      </c>
      <c r="J152" s="424"/>
      <c r="K152" s="424"/>
      <c r="L152" s="424"/>
      <c r="M152" s="424"/>
      <c r="N152" s="93"/>
      <c r="O152" s="554" t="s">
        <v>226</v>
      </c>
      <c r="P152" s="93"/>
      <c r="Q152" s="374">
        <v>0.25</v>
      </c>
      <c r="R152" s="93"/>
      <c r="S152" s="419">
        <f>(1+Sensitivity_Rec_Consent)*(Standard_Process_Effort*(1+PM_Overhead)*$Q152)</f>
        <v>8.25</v>
      </c>
      <c r="T152" s="419">
        <f>(1+Sensitivity_Rec_Consent)*(Standard_Process_Effort*(1+PM_Overhead)*$Q152)</f>
        <v>8.25</v>
      </c>
      <c r="U152" s="419">
        <f>(1+Sensitivity_Rec_Consent)*(Standard_Process_Effort*(1+PM_Overhead)*$Q152)</f>
        <v>8.25</v>
      </c>
      <c r="V152" s="419">
        <f>(1+Sensitivity_Rec_Consent)*(Standard_Process_Effort*(1+PM_Overhead)*$Q152)</f>
        <v>8.25</v>
      </c>
      <c r="W152" s="419">
        <f>(1+Sensitivity_Rec_Consent)*0</f>
        <v>0</v>
      </c>
      <c r="X152" s="419">
        <f>(1+Sensitivity_Rec_Consent)*0</f>
        <v>0</v>
      </c>
      <c r="Y152" s="419">
        <f>(1+Sensitivity_Rec_Consent)*(Standard_Process_Effort*(1+PM_Overhead)*$Q152)*TierC_TierB_ratio</f>
        <v>4.125</v>
      </c>
      <c r="Z152" s="419">
        <f>Y152</f>
        <v>4.125</v>
      </c>
      <c r="AA152" s="419">
        <f>(1+Sensitivity_Rec_Consent)*0</f>
        <v>0</v>
      </c>
      <c r="AB152" s="93"/>
      <c r="AC152" s="554" t="s">
        <v>226</v>
      </c>
      <c r="AD152" s="424"/>
      <c r="AE152" s="374">
        <v>0.25</v>
      </c>
      <c r="AF152" s="158"/>
      <c r="AG152" s="419">
        <f>(1+Sensitivity_Rec_Consent)*(Standard_Process_Effort*(1+PM_Overhead)*$AE152)</f>
        <v>8.25</v>
      </c>
      <c r="AH152" s="419">
        <f>(1+Sensitivity_Rec_Consent)*(Standard_Process_Effort*(1+PM_Overhead)*$AE152)</f>
        <v>8.25</v>
      </c>
      <c r="AI152" s="419">
        <f>(1+Sensitivity_Rec_Consent)*(Standard_Process_Effort*(1+PM_Overhead)*$AE152)</f>
        <v>8.25</v>
      </c>
      <c r="AJ152" s="419">
        <f>(1+Sensitivity_Rec_Consent)*(Standard_Process_Effort*(1+PM_Overhead)*$AE152)</f>
        <v>8.25</v>
      </c>
      <c r="AK152" s="419">
        <f>(1+Sensitivity_Rec_Consent)*0</f>
        <v>0</v>
      </c>
      <c r="AL152" s="419">
        <f>(1+Sensitivity_Rec_Consent)*0</f>
        <v>0</v>
      </c>
      <c r="AM152" s="419">
        <f>(1+Sensitivity_Rec_Consent)*(Standard_Process_Effort*(1+PM_Overhead)*$AE152)*TierC_TierB_ratio</f>
        <v>4.125</v>
      </c>
      <c r="AN152" s="419">
        <f>AM152</f>
        <v>4.125</v>
      </c>
      <c r="AO152" s="419">
        <f>(1+Sensitivity_Rec_Consent)*0</f>
        <v>0</v>
      </c>
      <c r="AP152" s="264"/>
      <c r="AQ152" s="264"/>
      <c r="AR152" s="554" t="s">
        <v>226</v>
      </c>
      <c r="AS152" s="424"/>
      <c r="AT152" s="374">
        <v>0.25</v>
      </c>
      <c r="AU152" s="158"/>
      <c r="AV152" s="419">
        <f>(1+Sensitivity_Rec_Consent)*(Standard_Process_Effort*(1+PM_Overhead)*$AT152)</f>
        <v>8.25</v>
      </c>
      <c r="AW152" s="419">
        <f>(1+Sensitivity_Rec_Consent)*(Standard_Process_Effort*(1+PM_Overhead)*$AT152)</f>
        <v>8.25</v>
      </c>
      <c r="AX152" s="419">
        <f>(1+Sensitivity_Rec_Consent)*(Standard_Process_Effort*(1+PM_Overhead)*$AT152)</f>
        <v>8.25</v>
      </c>
      <c r="AY152" s="419">
        <f>(1+Sensitivity_Rec_Consent)*(Standard_Process_Effort*(1+PM_Overhead)*$AT152)</f>
        <v>8.25</v>
      </c>
      <c r="AZ152" s="419">
        <f>(1+Sensitivity_Rec_Consent)*0</f>
        <v>0</v>
      </c>
      <c r="BA152" s="419">
        <f>(1+Sensitivity_Rec_Consent)*0</f>
        <v>0</v>
      </c>
      <c r="BB152" s="419">
        <f>(1+Sensitivity_Rec_Consent)*(Standard_Process_Effort*(1+PM_Overhead)*$AT152)*TierC_TierB_ratio</f>
        <v>4.125</v>
      </c>
      <c r="BC152" s="419">
        <f>BB152</f>
        <v>4.125</v>
      </c>
      <c r="BD152" s="419">
        <f>(1+Sensitivity_Rec_Consent)*0</f>
        <v>0</v>
      </c>
      <c r="BE152" s="264"/>
      <c r="BF152" s="554" t="s">
        <v>226</v>
      </c>
      <c r="BG152" s="424"/>
      <c r="BH152" s="374">
        <v>0.25</v>
      </c>
      <c r="BI152" s="158"/>
      <c r="BJ152" s="419">
        <f>(1+Sensitivity_Rec_Consent)*(Standard_Process_Effort*(1+PM_Overhead)*$BH152)</f>
        <v>8.25</v>
      </c>
      <c r="BK152" s="419">
        <f>(1+Sensitivity_Rec_Consent)*(Standard_Process_Effort*(1+PM_Overhead)*$BH152)</f>
        <v>8.25</v>
      </c>
      <c r="BL152" s="419">
        <f>(1+Sensitivity_Rec_Consent)*(Standard_Process_Effort*(1+PM_Overhead)*$BH152)</f>
        <v>8.25</v>
      </c>
      <c r="BM152" s="419">
        <f>(1+Sensitivity_Rec_Consent)*(Standard_Process_Effort*(1+PM_Overhead)*$BH152)</f>
        <v>8.25</v>
      </c>
      <c r="BN152" s="419">
        <f>(1+Sensitivity_Rec_Consent)*0</f>
        <v>0</v>
      </c>
      <c r="BO152" s="419">
        <f>(1+Sensitivity_Rec_Consent)*0</f>
        <v>0</v>
      </c>
      <c r="BP152" s="419">
        <f>(1+Sensitivity_Rec_Consent)*(Standard_Process_Effort*(1+PM_Overhead)*$BH152)*TierC_TierB_ratio</f>
        <v>4.125</v>
      </c>
      <c r="BQ152" s="419">
        <f>BP152</f>
        <v>4.125</v>
      </c>
      <c r="BR152" s="419">
        <f>(1+Sensitivity_Rec_Consent)*0</f>
        <v>0</v>
      </c>
      <c r="BS152" s="263"/>
    </row>
    <row r="153" spans="1:71" ht="24" customHeight="1" outlineLevel="1" x14ac:dyDescent="0.2">
      <c r="A153" s="400"/>
      <c r="B153" s="437" t="s">
        <v>108</v>
      </c>
      <c r="C153" s="171" t="s">
        <v>161</v>
      </c>
      <c r="D153" s="432" t="s">
        <v>109</v>
      </c>
      <c r="E153" s="426" t="s">
        <v>149</v>
      </c>
      <c r="F153" s="422" t="s">
        <v>49</v>
      </c>
      <c r="G153" s="426" t="s">
        <v>50</v>
      </c>
      <c r="H153" s="594" t="s">
        <v>118</v>
      </c>
      <c r="I153" s="748"/>
      <c r="J153" s="424"/>
      <c r="K153" s="424"/>
      <c r="L153" s="424"/>
      <c r="M153" s="424"/>
      <c r="N153" s="264"/>
      <c r="O153" s="554"/>
      <c r="P153" s="264"/>
      <c r="Q153" s="264"/>
      <c r="R153" s="264"/>
      <c r="S153" s="374">
        <v>0.2</v>
      </c>
      <c r="T153" s="374">
        <v>0.2</v>
      </c>
      <c r="U153" s="374">
        <v>0.2</v>
      </c>
      <c r="V153" s="374">
        <v>0.2</v>
      </c>
      <c r="W153" s="374">
        <v>0.2</v>
      </c>
      <c r="X153" s="374">
        <v>0.2</v>
      </c>
      <c r="Y153" s="374">
        <v>0.2</v>
      </c>
      <c r="Z153" s="374">
        <v>0.2</v>
      </c>
      <c r="AA153" s="374">
        <v>0.2</v>
      </c>
      <c r="AB153" s="93"/>
      <c r="AC153" s="554"/>
      <c r="AD153" s="424"/>
      <c r="AE153" s="264"/>
      <c r="AF153" s="263"/>
      <c r="AG153" s="374">
        <v>0.2</v>
      </c>
      <c r="AH153" s="374">
        <v>0.2</v>
      </c>
      <c r="AI153" s="374">
        <v>0.2</v>
      </c>
      <c r="AJ153" s="374">
        <v>0.2</v>
      </c>
      <c r="AK153" s="374">
        <v>0.2</v>
      </c>
      <c r="AL153" s="374">
        <v>0.2</v>
      </c>
      <c r="AM153" s="374">
        <v>0.2</v>
      </c>
      <c r="AN153" s="374">
        <v>0.2</v>
      </c>
      <c r="AO153" s="374">
        <v>0.2</v>
      </c>
      <c r="AP153" s="264"/>
      <c r="AQ153" s="264"/>
      <c r="AR153" s="554"/>
      <c r="AS153" s="424"/>
      <c r="AT153" s="264"/>
      <c r="AU153" s="263"/>
      <c r="AV153" s="374">
        <v>0.2</v>
      </c>
      <c r="AW153" s="374">
        <v>0.2</v>
      </c>
      <c r="AX153" s="374">
        <v>0.2</v>
      </c>
      <c r="AY153" s="374">
        <v>0.2</v>
      </c>
      <c r="AZ153" s="374">
        <v>0.2</v>
      </c>
      <c r="BA153" s="374">
        <v>0.2</v>
      </c>
      <c r="BB153" s="374">
        <v>0.2</v>
      </c>
      <c r="BC153" s="374">
        <v>0.2</v>
      </c>
      <c r="BD153" s="374">
        <v>0.2</v>
      </c>
      <c r="BE153" s="264"/>
      <c r="BF153" s="554"/>
      <c r="BG153" s="424"/>
      <c r="BH153" s="264"/>
      <c r="BI153" s="263"/>
      <c r="BJ153" s="374">
        <v>0.2</v>
      </c>
      <c r="BK153" s="374">
        <v>0.2</v>
      </c>
      <c r="BL153" s="374">
        <v>0.2</v>
      </c>
      <c r="BM153" s="374">
        <v>0.2</v>
      </c>
      <c r="BN153" s="374">
        <v>0.2</v>
      </c>
      <c r="BO153" s="374">
        <v>0.2</v>
      </c>
      <c r="BP153" s="374">
        <v>0.2</v>
      </c>
      <c r="BQ153" s="374">
        <v>0.2</v>
      </c>
      <c r="BR153" s="374">
        <v>0.2</v>
      </c>
      <c r="BS153" s="263"/>
    </row>
    <row r="154" spans="1:71" ht="24" customHeight="1" outlineLevel="1" x14ac:dyDescent="0.2">
      <c r="A154" s="312"/>
      <c r="B154" s="437" t="s">
        <v>108</v>
      </c>
      <c r="C154" s="171" t="s">
        <v>161</v>
      </c>
      <c r="D154" s="432" t="s">
        <v>109</v>
      </c>
      <c r="E154" s="426" t="s">
        <v>149</v>
      </c>
      <c r="F154" s="422" t="s">
        <v>51</v>
      </c>
      <c r="G154" s="426" t="s">
        <v>50</v>
      </c>
      <c r="H154" s="594" t="s">
        <v>117</v>
      </c>
      <c r="I154" s="748"/>
      <c r="J154" s="424"/>
      <c r="K154" s="424"/>
      <c r="L154" s="424"/>
      <c r="M154" s="424"/>
      <c r="N154" s="264"/>
      <c r="O154" s="554" t="s">
        <v>196</v>
      </c>
      <c r="P154" s="264"/>
      <c r="Q154" s="374">
        <v>0.25</v>
      </c>
      <c r="R154" s="264"/>
      <c r="S154" s="419">
        <f>(1+Sensitivity_Rec_Consent)*0</f>
        <v>0</v>
      </c>
      <c r="T154" s="419">
        <f>(1+Sensitivity_Rec_Consent)*Training_Duration*$Q154</f>
        <v>0.5</v>
      </c>
      <c r="U154" s="419">
        <f t="shared" ref="U154:AA154" si="164">(1+Sensitivity_Rec_Consent)*0</f>
        <v>0</v>
      </c>
      <c r="V154" s="419">
        <f t="shared" si="164"/>
        <v>0</v>
      </c>
      <c r="W154" s="419">
        <f t="shared" si="164"/>
        <v>0</v>
      </c>
      <c r="X154" s="419">
        <f t="shared" si="164"/>
        <v>0</v>
      </c>
      <c r="Y154" s="419">
        <f t="shared" si="164"/>
        <v>0</v>
      </c>
      <c r="Z154" s="419">
        <f t="shared" si="164"/>
        <v>0</v>
      </c>
      <c r="AA154" s="419">
        <f t="shared" si="164"/>
        <v>0</v>
      </c>
      <c r="AB154" s="264"/>
      <c r="AC154" s="554" t="s">
        <v>196</v>
      </c>
      <c r="AD154" s="424"/>
      <c r="AE154" s="374">
        <v>0.25</v>
      </c>
      <c r="AF154" s="263"/>
      <c r="AG154" s="419">
        <f>(1+Sensitivity_Rec_Consent)*0</f>
        <v>0</v>
      </c>
      <c r="AH154" s="419">
        <f>(1+Sensitivity_Rec_Consent)*Training_Duration*$AE154</f>
        <v>0.5</v>
      </c>
      <c r="AI154" s="419">
        <f t="shared" ref="AI154:AO154" si="165">(1+Sensitivity_Rec_Consent)*0</f>
        <v>0</v>
      </c>
      <c r="AJ154" s="419">
        <f t="shared" si="165"/>
        <v>0</v>
      </c>
      <c r="AK154" s="419">
        <f t="shared" si="165"/>
        <v>0</v>
      </c>
      <c r="AL154" s="419">
        <f t="shared" si="165"/>
        <v>0</v>
      </c>
      <c r="AM154" s="419">
        <f t="shared" si="165"/>
        <v>0</v>
      </c>
      <c r="AN154" s="419">
        <f t="shared" si="165"/>
        <v>0</v>
      </c>
      <c r="AO154" s="419">
        <f t="shared" si="165"/>
        <v>0</v>
      </c>
      <c r="AP154" s="264"/>
      <c r="AQ154" s="264"/>
      <c r="AR154" s="554" t="s">
        <v>196</v>
      </c>
      <c r="AS154" s="424"/>
      <c r="AT154" s="374">
        <v>0.25</v>
      </c>
      <c r="AU154" s="263"/>
      <c r="AV154" s="419">
        <f>(1+Sensitivity_Rec_Consent)*0</f>
        <v>0</v>
      </c>
      <c r="AW154" s="419">
        <f>(1+Sensitivity_Rec_Consent)*Training_Duration*$AT154</f>
        <v>0.5</v>
      </c>
      <c r="AX154" s="419">
        <f t="shared" ref="AX154:BD154" si="166">(1+Sensitivity_Rec_Consent)*0</f>
        <v>0</v>
      </c>
      <c r="AY154" s="419">
        <f t="shared" si="166"/>
        <v>0</v>
      </c>
      <c r="AZ154" s="419">
        <f t="shared" si="166"/>
        <v>0</v>
      </c>
      <c r="BA154" s="419">
        <f t="shared" si="166"/>
        <v>0</v>
      </c>
      <c r="BB154" s="419">
        <f t="shared" si="166"/>
        <v>0</v>
      </c>
      <c r="BC154" s="419">
        <f t="shared" si="166"/>
        <v>0</v>
      </c>
      <c r="BD154" s="419">
        <f t="shared" si="166"/>
        <v>0</v>
      </c>
      <c r="BE154" s="264"/>
      <c r="BF154" s="554" t="s">
        <v>196</v>
      </c>
      <c r="BG154" s="424"/>
      <c r="BH154" s="374">
        <v>0.25</v>
      </c>
      <c r="BI154" s="263"/>
      <c r="BJ154" s="419">
        <f>(1+Sensitivity_Rec_Consent)*0</f>
        <v>0</v>
      </c>
      <c r="BK154" s="419">
        <f>(1+Sensitivity_Rec_Consent)*Training_Duration*$BH154</f>
        <v>0.5</v>
      </c>
      <c r="BL154" s="419">
        <f t="shared" ref="BL154:BR154" si="167">(1+Sensitivity_Rec_Consent)*0</f>
        <v>0</v>
      </c>
      <c r="BM154" s="419">
        <f t="shared" si="167"/>
        <v>0</v>
      </c>
      <c r="BN154" s="419">
        <f t="shared" si="167"/>
        <v>0</v>
      </c>
      <c r="BO154" s="419">
        <f t="shared" si="167"/>
        <v>0</v>
      </c>
      <c r="BP154" s="419">
        <f t="shared" si="167"/>
        <v>0</v>
      </c>
      <c r="BQ154" s="419">
        <f t="shared" si="167"/>
        <v>0</v>
      </c>
      <c r="BR154" s="419">
        <f t="shared" si="167"/>
        <v>0</v>
      </c>
      <c r="BS154" s="263"/>
    </row>
    <row r="155" spans="1:71" ht="24" customHeight="1" outlineLevel="1" x14ac:dyDescent="0.2">
      <c r="A155" s="312"/>
      <c r="B155" s="437" t="s">
        <v>108</v>
      </c>
      <c r="C155" s="171" t="s">
        <v>161</v>
      </c>
      <c r="D155" s="432" t="s">
        <v>109</v>
      </c>
      <c r="E155" s="426" t="s">
        <v>149</v>
      </c>
      <c r="F155" s="422" t="s">
        <v>48</v>
      </c>
      <c r="G155" s="426" t="s">
        <v>47</v>
      </c>
      <c r="H155" s="594" t="s">
        <v>181</v>
      </c>
      <c r="I155" s="749"/>
      <c r="J155" s="424"/>
      <c r="K155" s="424"/>
      <c r="L155" s="424"/>
      <c r="M155" s="424"/>
      <c r="N155" s="264"/>
      <c r="O155" s="595" t="s">
        <v>218</v>
      </c>
      <c r="P155" s="264"/>
      <c r="Q155" s="264"/>
      <c r="R155" s="264"/>
      <c r="S155" s="419">
        <v>0</v>
      </c>
      <c r="T155" s="419">
        <v>0</v>
      </c>
      <c r="U155" s="419">
        <v>0</v>
      </c>
      <c r="V155" s="419">
        <v>0</v>
      </c>
      <c r="W155" s="419">
        <v>0</v>
      </c>
      <c r="X155" s="419">
        <v>0</v>
      </c>
      <c r="Y155" s="419">
        <v>0</v>
      </c>
      <c r="Z155" s="419">
        <v>0</v>
      </c>
      <c r="AA155" s="419">
        <v>0</v>
      </c>
      <c r="AB155" s="264"/>
      <c r="AC155" s="595" t="s">
        <v>218</v>
      </c>
      <c r="AD155" s="424"/>
      <c r="AE155" s="264"/>
      <c r="AF155" s="263"/>
      <c r="AG155" s="419">
        <v>0</v>
      </c>
      <c r="AH155" s="419">
        <v>0</v>
      </c>
      <c r="AI155" s="419">
        <v>0</v>
      </c>
      <c r="AJ155" s="419">
        <v>0</v>
      </c>
      <c r="AK155" s="419">
        <v>0</v>
      </c>
      <c r="AL155" s="419">
        <v>0</v>
      </c>
      <c r="AM155" s="419">
        <v>0</v>
      </c>
      <c r="AN155" s="419">
        <v>0</v>
      </c>
      <c r="AO155" s="419">
        <v>0</v>
      </c>
      <c r="AP155" s="264"/>
      <c r="AQ155" s="264"/>
      <c r="AR155" s="595" t="s">
        <v>218</v>
      </c>
      <c r="AS155" s="424"/>
      <c r="AT155" s="264"/>
      <c r="AU155" s="263"/>
      <c r="AV155" s="419">
        <v>0</v>
      </c>
      <c r="AW155" s="419">
        <v>0</v>
      </c>
      <c r="AX155" s="419">
        <v>0</v>
      </c>
      <c r="AY155" s="419">
        <v>0</v>
      </c>
      <c r="AZ155" s="419">
        <v>0</v>
      </c>
      <c r="BA155" s="419">
        <v>0</v>
      </c>
      <c r="BB155" s="419">
        <v>0</v>
      </c>
      <c r="BC155" s="419">
        <v>0</v>
      </c>
      <c r="BD155" s="419">
        <v>0</v>
      </c>
      <c r="BE155" s="264"/>
      <c r="BF155" s="595" t="s">
        <v>218</v>
      </c>
      <c r="BG155" s="424"/>
      <c r="BH155" s="264"/>
      <c r="BI155" s="263"/>
      <c r="BJ155" s="419">
        <v>0</v>
      </c>
      <c r="BK155" s="419">
        <v>0</v>
      </c>
      <c r="BL155" s="419">
        <v>0</v>
      </c>
      <c r="BM155" s="419">
        <v>0</v>
      </c>
      <c r="BN155" s="419">
        <v>0</v>
      </c>
      <c r="BO155" s="419">
        <v>0</v>
      </c>
      <c r="BP155" s="419">
        <v>0</v>
      </c>
      <c r="BQ155" s="419">
        <v>0</v>
      </c>
      <c r="BR155" s="419">
        <v>0</v>
      </c>
      <c r="BS155" s="263"/>
    </row>
    <row r="156" spans="1:71" ht="24" customHeight="1" outlineLevel="1" x14ac:dyDescent="0.2">
      <c r="A156" s="312"/>
      <c r="B156" s="546" t="s">
        <v>108</v>
      </c>
      <c r="C156" s="547" t="s">
        <v>161</v>
      </c>
      <c r="D156" s="470" t="s">
        <v>109</v>
      </c>
      <c r="E156" s="596" t="s">
        <v>150</v>
      </c>
      <c r="F156" s="457" t="s">
        <v>51</v>
      </c>
      <c r="G156" s="456" t="s">
        <v>50</v>
      </c>
      <c r="H156" s="592" t="s">
        <v>214</v>
      </c>
      <c r="I156" s="744" t="s">
        <v>238</v>
      </c>
      <c r="J156" s="407"/>
      <c r="K156" s="440"/>
      <c r="L156" s="440"/>
      <c r="M156" s="440"/>
      <c r="N156" s="264"/>
      <c r="O156" s="597" t="s">
        <v>226</v>
      </c>
      <c r="P156" s="264"/>
      <c r="Q156" s="374">
        <v>0.25</v>
      </c>
      <c r="R156" s="264"/>
      <c r="S156" s="419">
        <f>(1+Sensitivity_Rec_Consent)*(Standard_Process_Effort*(1+PM_Overhead)*$Q156)</f>
        <v>8.25</v>
      </c>
      <c r="T156" s="419">
        <f>(1+Sensitivity_Rec_Consent)*(Standard_Process_Effort*(1+PM_Overhead)*$Q156)</f>
        <v>8.25</v>
      </c>
      <c r="U156" s="419">
        <f>(1+Sensitivity_Rec_Consent)*(Standard_Process_Effort*(1+PM_Overhead)*$Q156)</f>
        <v>8.25</v>
      </c>
      <c r="V156" s="419">
        <f>(1+Sensitivity_Rec_Consent)*(Standard_Process_Effort*(1+PM_Overhead)*$Q156)</f>
        <v>8.25</v>
      </c>
      <c r="W156" s="419">
        <f>(1+Sensitivity_Rec_Consent)*0</f>
        <v>0</v>
      </c>
      <c r="X156" s="419">
        <f>(1+Sensitivity_Rec_Consent)*0</f>
        <v>0</v>
      </c>
      <c r="Y156" s="419">
        <f>(1+Sensitivity_Rec_Consent)*(Standard_Process_Effort*(1+PM_Overhead)*$Q156)*TierC_TierB_ratio</f>
        <v>4.125</v>
      </c>
      <c r="Z156" s="419">
        <f>Y156</f>
        <v>4.125</v>
      </c>
      <c r="AA156" s="419">
        <f>(1+Sensitivity_Rec_Consent)*0</f>
        <v>0</v>
      </c>
      <c r="AB156" s="264"/>
      <c r="AC156" s="597" t="s">
        <v>226</v>
      </c>
      <c r="AD156" s="440"/>
      <c r="AE156" s="374">
        <v>0.25</v>
      </c>
      <c r="AF156" s="263"/>
      <c r="AG156" s="419">
        <f>(1+Sensitivity_Rec_Consent)*(Standard_Process_Effort*(1+PM_Overhead)*$AE156)</f>
        <v>8.25</v>
      </c>
      <c r="AH156" s="419">
        <f>(1+Sensitivity_Rec_Consent)*(Standard_Process_Effort*(1+PM_Overhead)*$AE156)</f>
        <v>8.25</v>
      </c>
      <c r="AI156" s="419">
        <f>(1+Sensitivity_Rec_Consent)*(Standard_Process_Effort*(1+PM_Overhead)*$AE156)</f>
        <v>8.25</v>
      </c>
      <c r="AJ156" s="419">
        <f>(1+Sensitivity_Rec_Consent)*(Standard_Process_Effort*(1+PM_Overhead)*$AE156)</f>
        <v>8.25</v>
      </c>
      <c r="AK156" s="419">
        <f>(1+Sensitivity_Rec_Consent)*0</f>
        <v>0</v>
      </c>
      <c r="AL156" s="419">
        <f>(1+Sensitivity_Rec_Consent)*0</f>
        <v>0</v>
      </c>
      <c r="AM156" s="419">
        <f>(1+Sensitivity_Rec_Consent)*(Standard_Process_Effort*(1+PM_Overhead)*$AE156)*TierC_TierB_ratio</f>
        <v>4.125</v>
      </c>
      <c r="AN156" s="419">
        <f>AM156</f>
        <v>4.125</v>
      </c>
      <c r="AO156" s="419">
        <f>(1+Sensitivity_Rec_Consent)*0</f>
        <v>0</v>
      </c>
      <c r="AP156" s="264"/>
      <c r="AQ156" s="264"/>
      <c r="AR156" s="597" t="s">
        <v>226</v>
      </c>
      <c r="AS156" s="440"/>
      <c r="AT156" s="374">
        <v>0.25</v>
      </c>
      <c r="AU156" s="263"/>
      <c r="AV156" s="419">
        <f>(1+Sensitivity_Rec_Consent)*(Standard_Process_Effort*(1+PM_Overhead)*$AT156)</f>
        <v>8.25</v>
      </c>
      <c r="AW156" s="419">
        <f>(1+Sensitivity_Rec_Consent)*(Standard_Process_Effort*(1+PM_Overhead)*$AT156)</f>
        <v>8.25</v>
      </c>
      <c r="AX156" s="419">
        <f>(1+Sensitivity_Rec_Consent)*(Standard_Process_Effort*(1+PM_Overhead)*$AT156)</f>
        <v>8.25</v>
      </c>
      <c r="AY156" s="419">
        <f>(1+Sensitivity_Rec_Consent)*(Standard_Process_Effort*(1+PM_Overhead)*$AT156)</f>
        <v>8.25</v>
      </c>
      <c r="AZ156" s="419">
        <f>(1+Sensitivity_Rec_Consent)*0</f>
        <v>0</v>
      </c>
      <c r="BA156" s="419">
        <f>(1+Sensitivity_Rec_Consent)*0</f>
        <v>0</v>
      </c>
      <c r="BB156" s="419">
        <f>(1+Sensitivity_Rec_Consent)*(Standard_Process_Effort*(1+PM_Overhead)*$AT156)*TierC_TierB_ratio</f>
        <v>4.125</v>
      </c>
      <c r="BC156" s="419">
        <f>BB156</f>
        <v>4.125</v>
      </c>
      <c r="BD156" s="419">
        <f>(1+Sensitivity_Rec_Consent)*0</f>
        <v>0</v>
      </c>
      <c r="BE156" s="264"/>
      <c r="BF156" s="597" t="s">
        <v>226</v>
      </c>
      <c r="BG156" s="440"/>
      <c r="BH156" s="374">
        <v>0.25</v>
      </c>
      <c r="BI156" s="263"/>
      <c r="BJ156" s="419">
        <f>(1+Sensitivity_Rec_Consent)*(Standard_Process_Effort*(1+PM_Overhead)*$BH156)</f>
        <v>8.25</v>
      </c>
      <c r="BK156" s="419">
        <f>(1+Sensitivity_Rec_Consent)*(Standard_Process_Effort*(1+PM_Overhead)*$BH156)</f>
        <v>8.25</v>
      </c>
      <c r="BL156" s="419">
        <f>(1+Sensitivity_Rec_Consent)*(Standard_Process_Effort*(1+PM_Overhead)*$BH156)</f>
        <v>8.25</v>
      </c>
      <c r="BM156" s="419">
        <f>(1+Sensitivity_Rec_Consent)*(Standard_Process_Effort*(1+PM_Overhead)*$BH156)</f>
        <v>8.25</v>
      </c>
      <c r="BN156" s="419">
        <f>(1+Sensitivity_Rec_Consent)*0</f>
        <v>0</v>
      </c>
      <c r="BO156" s="419">
        <f>(1+Sensitivity_Rec_Consent)*0</f>
        <v>0</v>
      </c>
      <c r="BP156" s="419">
        <f>(1+Sensitivity_Rec_Consent)*(Standard_Process_Effort*(1+PM_Overhead)*$BH156)*TierC_TierB_ratio</f>
        <v>4.125</v>
      </c>
      <c r="BQ156" s="419">
        <f>BP156</f>
        <v>4.125</v>
      </c>
      <c r="BR156" s="419">
        <f>(1+Sensitivity_Rec_Consent)*0</f>
        <v>0</v>
      </c>
      <c r="BS156" s="263"/>
    </row>
    <row r="157" spans="1:71" ht="24" customHeight="1" outlineLevel="1" x14ac:dyDescent="0.2">
      <c r="A157" s="312"/>
      <c r="B157" s="546" t="s">
        <v>108</v>
      </c>
      <c r="C157" s="547" t="s">
        <v>161</v>
      </c>
      <c r="D157" s="470" t="s">
        <v>109</v>
      </c>
      <c r="E157" s="596" t="s">
        <v>150</v>
      </c>
      <c r="F157" s="457" t="s">
        <v>49</v>
      </c>
      <c r="G157" s="456" t="s">
        <v>47</v>
      </c>
      <c r="H157" s="592" t="s">
        <v>118</v>
      </c>
      <c r="I157" s="745"/>
      <c r="J157" s="407"/>
      <c r="K157" s="440"/>
      <c r="L157" s="440"/>
      <c r="M157" s="440"/>
      <c r="N157" s="264"/>
      <c r="O157" s="470"/>
      <c r="P157" s="264"/>
      <c r="Q157" s="264"/>
      <c r="R157" s="264"/>
      <c r="S157" s="374">
        <v>0.2</v>
      </c>
      <c r="T157" s="374">
        <v>0.2</v>
      </c>
      <c r="U157" s="374">
        <v>0.2</v>
      </c>
      <c r="V157" s="374">
        <v>0.2</v>
      </c>
      <c r="W157" s="374">
        <v>0.2</v>
      </c>
      <c r="X157" s="374">
        <v>0.2</v>
      </c>
      <c r="Y157" s="374">
        <v>0.2</v>
      </c>
      <c r="Z157" s="374">
        <v>0.2</v>
      </c>
      <c r="AA157" s="374">
        <v>0.2</v>
      </c>
      <c r="AB157" s="264"/>
      <c r="AC157" s="470"/>
      <c r="AD157" s="440"/>
      <c r="AE157" s="264"/>
      <c r="AF157" s="263"/>
      <c r="AG157" s="374">
        <v>0.2</v>
      </c>
      <c r="AH157" s="374">
        <v>0.2</v>
      </c>
      <c r="AI157" s="374">
        <v>0.2</v>
      </c>
      <c r="AJ157" s="374">
        <v>0.2</v>
      </c>
      <c r="AK157" s="374">
        <v>0.2</v>
      </c>
      <c r="AL157" s="374">
        <v>0.2</v>
      </c>
      <c r="AM157" s="374">
        <v>0.2</v>
      </c>
      <c r="AN157" s="374">
        <v>0.2</v>
      </c>
      <c r="AO157" s="374">
        <v>0.2</v>
      </c>
      <c r="AP157" s="264"/>
      <c r="AQ157" s="264"/>
      <c r="AR157" s="470"/>
      <c r="AS157" s="440"/>
      <c r="AT157" s="264"/>
      <c r="AU157" s="263"/>
      <c r="AV157" s="374">
        <v>0.2</v>
      </c>
      <c r="AW157" s="374">
        <v>0.2</v>
      </c>
      <c r="AX157" s="374">
        <v>0.2</v>
      </c>
      <c r="AY157" s="374">
        <v>0.2</v>
      </c>
      <c r="AZ157" s="374">
        <v>0.2</v>
      </c>
      <c r="BA157" s="374">
        <v>0.2</v>
      </c>
      <c r="BB157" s="374">
        <v>0.2</v>
      </c>
      <c r="BC157" s="374">
        <v>0.2</v>
      </c>
      <c r="BD157" s="374">
        <v>0.2</v>
      </c>
      <c r="BE157" s="264"/>
      <c r="BF157" s="470"/>
      <c r="BG157" s="440"/>
      <c r="BH157" s="264"/>
      <c r="BI157" s="263"/>
      <c r="BJ157" s="374">
        <v>0.2</v>
      </c>
      <c r="BK157" s="374">
        <v>0.2</v>
      </c>
      <c r="BL157" s="374">
        <v>0.2</v>
      </c>
      <c r="BM157" s="374">
        <v>0.2</v>
      </c>
      <c r="BN157" s="374">
        <v>0.2</v>
      </c>
      <c r="BO157" s="374">
        <v>0.2</v>
      </c>
      <c r="BP157" s="374">
        <v>0.2</v>
      </c>
      <c r="BQ157" s="374">
        <v>0.2</v>
      </c>
      <c r="BR157" s="374">
        <v>0.2</v>
      </c>
      <c r="BS157" s="263"/>
    </row>
    <row r="158" spans="1:71" ht="24" customHeight="1" outlineLevel="1" x14ac:dyDescent="0.2">
      <c r="A158" s="312"/>
      <c r="B158" s="546" t="s">
        <v>108</v>
      </c>
      <c r="C158" s="547" t="s">
        <v>161</v>
      </c>
      <c r="D158" s="470" t="s">
        <v>109</v>
      </c>
      <c r="E158" s="596" t="s">
        <v>150</v>
      </c>
      <c r="F158" s="457" t="s">
        <v>51</v>
      </c>
      <c r="G158" s="456" t="s">
        <v>50</v>
      </c>
      <c r="H158" s="592" t="s">
        <v>117</v>
      </c>
      <c r="I158" s="745"/>
      <c r="J158" s="407"/>
      <c r="K158" s="440"/>
      <c r="L158" s="440"/>
      <c r="M158" s="440"/>
      <c r="N158" s="264"/>
      <c r="O158" s="597" t="s">
        <v>196</v>
      </c>
      <c r="P158" s="264"/>
      <c r="Q158" s="374">
        <v>0.25</v>
      </c>
      <c r="R158" s="264"/>
      <c r="S158" s="419">
        <f>(1+Sensitivity_Rec_Consent)*0</f>
        <v>0</v>
      </c>
      <c r="T158" s="419">
        <f>(1+Sensitivity_Rec_Consent)*Training_Duration*$Q158</f>
        <v>0.5</v>
      </c>
      <c r="U158" s="419">
        <f t="shared" ref="U158:AA158" si="168">(1+Sensitivity_Rec_Consent)*0</f>
        <v>0</v>
      </c>
      <c r="V158" s="419">
        <f t="shared" si="168"/>
        <v>0</v>
      </c>
      <c r="W158" s="419">
        <f t="shared" si="168"/>
        <v>0</v>
      </c>
      <c r="X158" s="419">
        <f t="shared" si="168"/>
        <v>0</v>
      </c>
      <c r="Y158" s="419">
        <f t="shared" si="168"/>
        <v>0</v>
      </c>
      <c r="Z158" s="419">
        <f t="shared" si="168"/>
        <v>0</v>
      </c>
      <c r="AA158" s="419">
        <f t="shared" si="168"/>
        <v>0</v>
      </c>
      <c r="AB158" s="264"/>
      <c r="AC158" s="597" t="s">
        <v>196</v>
      </c>
      <c r="AD158" s="440"/>
      <c r="AE158" s="374">
        <v>0.25</v>
      </c>
      <c r="AF158" s="263"/>
      <c r="AG158" s="419">
        <f>(1+Sensitivity_Rec_Consent)*0</f>
        <v>0</v>
      </c>
      <c r="AH158" s="419">
        <f>(1+Sensitivity_Rec_Consent)*Training_Duration*$AE158</f>
        <v>0.5</v>
      </c>
      <c r="AI158" s="419">
        <f t="shared" ref="AI158:AO158" si="169">(1+Sensitivity_Rec_Consent)*0</f>
        <v>0</v>
      </c>
      <c r="AJ158" s="419">
        <f t="shared" si="169"/>
        <v>0</v>
      </c>
      <c r="AK158" s="419">
        <f t="shared" si="169"/>
        <v>0</v>
      </c>
      <c r="AL158" s="419">
        <f t="shared" si="169"/>
        <v>0</v>
      </c>
      <c r="AM158" s="419">
        <f t="shared" si="169"/>
        <v>0</v>
      </c>
      <c r="AN158" s="419">
        <f t="shared" si="169"/>
        <v>0</v>
      </c>
      <c r="AO158" s="419">
        <f t="shared" si="169"/>
        <v>0</v>
      </c>
      <c r="AP158" s="264"/>
      <c r="AQ158" s="264"/>
      <c r="AR158" s="597" t="s">
        <v>196</v>
      </c>
      <c r="AS158" s="440"/>
      <c r="AT158" s="374">
        <v>0.25</v>
      </c>
      <c r="AU158" s="263"/>
      <c r="AV158" s="419">
        <f>(1+Sensitivity_Rec_Consent)*0</f>
        <v>0</v>
      </c>
      <c r="AW158" s="419">
        <f>(1+Sensitivity_Rec_Consent)*Training_Duration*$AT158</f>
        <v>0.5</v>
      </c>
      <c r="AX158" s="419">
        <f t="shared" ref="AX158:BD158" si="170">(1+Sensitivity_Rec_Consent)*0</f>
        <v>0</v>
      </c>
      <c r="AY158" s="419">
        <f t="shared" si="170"/>
        <v>0</v>
      </c>
      <c r="AZ158" s="419">
        <f t="shared" si="170"/>
        <v>0</v>
      </c>
      <c r="BA158" s="419">
        <f t="shared" si="170"/>
        <v>0</v>
      </c>
      <c r="BB158" s="419">
        <f t="shared" si="170"/>
        <v>0</v>
      </c>
      <c r="BC158" s="419">
        <f t="shared" si="170"/>
        <v>0</v>
      </c>
      <c r="BD158" s="419">
        <f t="shared" si="170"/>
        <v>0</v>
      </c>
      <c r="BE158" s="264"/>
      <c r="BF158" s="597" t="s">
        <v>196</v>
      </c>
      <c r="BG158" s="440"/>
      <c r="BH158" s="374">
        <v>0.25</v>
      </c>
      <c r="BI158" s="263"/>
      <c r="BJ158" s="419">
        <f>(1+Sensitivity_Rec_Consent)*0</f>
        <v>0</v>
      </c>
      <c r="BK158" s="419">
        <f>(1+Sensitivity_Rec_Consent)*Training_Duration*$BH158</f>
        <v>0.5</v>
      </c>
      <c r="BL158" s="419">
        <f t="shared" ref="BL158:BR158" si="171">(1+Sensitivity_Rec_Consent)*0</f>
        <v>0</v>
      </c>
      <c r="BM158" s="419">
        <f t="shared" si="171"/>
        <v>0</v>
      </c>
      <c r="BN158" s="419">
        <f t="shared" si="171"/>
        <v>0</v>
      </c>
      <c r="BO158" s="419">
        <f t="shared" si="171"/>
        <v>0</v>
      </c>
      <c r="BP158" s="419">
        <f t="shared" si="171"/>
        <v>0</v>
      </c>
      <c r="BQ158" s="419">
        <f t="shared" si="171"/>
        <v>0</v>
      </c>
      <c r="BR158" s="419">
        <f t="shared" si="171"/>
        <v>0</v>
      </c>
      <c r="BS158" s="263"/>
    </row>
    <row r="159" spans="1:71" ht="24" customHeight="1" outlineLevel="1" x14ac:dyDescent="0.2">
      <c r="A159" s="312"/>
      <c r="B159" s="546" t="s">
        <v>108</v>
      </c>
      <c r="C159" s="547" t="s">
        <v>161</v>
      </c>
      <c r="D159" s="470" t="s">
        <v>109</v>
      </c>
      <c r="E159" s="596" t="s">
        <v>150</v>
      </c>
      <c r="F159" s="457" t="s">
        <v>48</v>
      </c>
      <c r="G159" s="456" t="s">
        <v>50</v>
      </c>
      <c r="H159" s="592" t="s">
        <v>155</v>
      </c>
      <c r="I159" s="746"/>
      <c r="J159" s="407"/>
      <c r="K159" s="440"/>
      <c r="L159" s="440"/>
      <c r="M159" s="440"/>
      <c r="N159" s="264"/>
      <c r="O159" s="470" t="s">
        <v>218</v>
      </c>
      <c r="P159" s="264"/>
      <c r="Q159" s="264"/>
      <c r="R159" s="264"/>
      <c r="S159" s="419">
        <v>0</v>
      </c>
      <c r="T159" s="419">
        <v>0</v>
      </c>
      <c r="U159" s="419">
        <v>0</v>
      </c>
      <c r="V159" s="419">
        <v>0</v>
      </c>
      <c r="W159" s="419">
        <v>0</v>
      </c>
      <c r="X159" s="419">
        <v>0</v>
      </c>
      <c r="Y159" s="419">
        <v>0</v>
      </c>
      <c r="Z159" s="419">
        <v>0</v>
      </c>
      <c r="AA159" s="419">
        <v>0</v>
      </c>
      <c r="AB159" s="264"/>
      <c r="AC159" s="470" t="s">
        <v>218</v>
      </c>
      <c r="AD159" s="440"/>
      <c r="AE159" s="264"/>
      <c r="AF159" s="263"/>
      <c r="AG159" s="419">
        <v>0</v>
      </c>
      <c r="AH159" s="419">
        <v>0</v>
      </c>
      <c r="AI159" s="419">
        <v>0</v>
      </c>
      <c r="AJ159" s="419">
        <v>0</v>
      </c>
      <c r="AK159" s="419">
        <v>0</v>
      </c>
      <c r="AL159" s="419">
        <v>0</v>
      </c>
      <c r="AM159" s="419">
        <v>0</v>
      </c>
      <c r="AN159" s="419">
        <v>0</v>
      </c>
      <c r="AO159" s="419">
        <v>0</v>
      </c>
      <c r="AP159" s="264"/>
      <c r="AQ159" s="264"/>
      <c r="AR159" s="470" t="s">
        <v>218</v>
      </c>
      <c r="AS159" s="440"/>
      <c r="AT159" s="264"/>
      <c r="AU159" s="263"/>
      <c r="AV159" s="419">
        <v>0</v>
      </c>
      <c r="AW159" s="419">
        <v>0</v>
      </c>
      <c r="AX159" s="419">
        <v>0</v>
      </c>
      <c r="AY159" s="419">
        <v>0</v>
      </c>
      <c r="AZ159" s="419">
        <v>0</v>
      </c>
      <c r="BA159" s="419">
        <v>0</v>
      </c>
      <c r="BB159" s="419">
        <v>0</v>
      </c>
      <c r="BC159" s="419">
        <v>0</v>
      </c>
      <c r="BD159" s="419">
        <v>0</v>
      </c>
      <c r="BE159" s="264"/>
      <c r="BF159" s="470" t="s">
        <v>218</v>
      </c>
      <c r="BG159" s="440"/>
      <c r="BH159" s="264"/>
      <c r="BI159" s="263"/>
      <c r="BJ159" s="419">
        <v>0</v>
      </c>
      <c r="BK159" s="419">
        <v>0</v>
      </c>
      <c r="BL159" s="419">
        <v>0</v>
      </c>
      <c r="BM159" s="419">
        <v>0</v>
      </c>
      <c r="BN159" s="419">
        <v>0</v>
      </c>
      <c r="BO159" s="419">
        <v>0</v>
      </c>
      <c r="BP159" s="419">
        <v>0</v>
      </c>
      <c r="BQ159" s="419">
        <v>0</v>
      </c>
      <c r="BR159" s="419">
        <v>0</v>
      </c>
      <c r="BS159" s="263"/>
    </row>
    <row r="160" spans="1:71" ht="24" customHeight="1" outlineLevel="1" x14ac:dyDescent="0.2">
      <c r="A160" s="312"/>
      <c r="B160" s="437" t="s">
        <v>108</v>
      </c>
      <c r="C160" s="171" t="s">
        <v>161</v>
      </c>
      <c r="D160" s="432" t="s">
        <v>109</v>
      </c>
      <c r="E160" s="432" t="s">
        <v>139</v>
      </c>
      <c r="F160" s="433" t="s">
        <v>51</v>
      </c>
      <c r="G160" s="426" t="s">
        <v>50</v>
      </c>
      <c r="H160" s="517" t="s">
        <v>214</v>
      </c>
      <c r="I160" s="768" t="s">
        <v>239</v>
      </c>
      <c r="J160" s="436"/>
      <c r="K160" s="467"/>
      <c r="L160" s="467"/>
      <c r="M160" s="467"/>
      <c r="N160" s="264"/>
      <c r="O160" s="426" t="s">
        <v>226</v>
      </c>
      <c r="P160" s="264"/>
      <c r="Q160" s="374">
        <v>0.25</v>
      </c>
      <c r="R160" s="264"/>
      <c r="S160" s="419">
        <f>(1+Sensitivity_Rec_Consent)*(Standard_Process_Effort*(1+PM_Overhead)*$Q160)</f>
        <v>8.25</v>
      </c>
      <c r="T160" s="419">
        <f>(1+Sensitivity_Rec_Consent)*(Standard_Process_Effort*(1+PM_Overhead)*$Q160)</f>
        <v>8.25</v>
      </c>
      <c r="U160" s="419">
        <f>(1+Sensitivity_Rec_Consent)*(Standard_Process_Effort*(1+PM_Overhead)*$Q160)</f>
        <v>8.25</v>
      </c>
      <c r="V160" s="419">
        <f>(1+Sensitivity_Rec_Consent)*(Standard_Process_Effort*(1+PM_Overhead)*$Q160)</f>
        <v>8.25</v>
      </c>
      <c r="W160" s="419">
        <f>(1+Sensitivity_Rec_Consent)*0</f>
        <v>0</v>
      </c>
      <c r="X160" s="419">
        <f>(1+Sensitivity_Rec_Consent)*0</f>
        <v>0</v>
      </c>
      <c r="Y160" s="419">
        <f>(1+Sensitivity_Rec_Consent)*(Standard_Process_Effort*(1+PM_Overhead)*$Q160)*TierC_TierB_ratio</f>
        <v>4.125</v>
      </c>
      <c r="Z160" s="419">
        <f>Y160</f>
        <v>4.125</v>
      </c>
      <c r="AA160" s="419">
        <f>(1+Sensitivity_Rec_Consent)*0</f>
        <v>0</v>
      </c>
      <c r="AB160" s="264"/>
      <c r="AC160" s="426" t="s">
        <v>226</v>
      </c>
      <c r="AD160" s="467"/>
      <c r="AE160" s="374">
        <v>0.25</v>
      </c>
      <c r="AF160" s="263"/>
      <c r="AG160" s="419">
        <f>(1+Sensitivity_Rec_Consent)*(Standard_Process_Effort*(1+PM_Overhead)*$AE160)</f>
        <v>8.25</v>
      </c>
      <c r="AH160" s="419">
        <f>(1+Sensitivity_Rec_Consent)*(Standard_Process_Effort*(1+PM_Overhead)*$AE160)</f>
        <v>8.25</v>
      </c>
      <c r="AI160" s="419">
        <f>(1+Sensitivity_Rec_Consent)*(Standard_Process_Effort*(1+PM_Overhead)*$AE160)</f>
        <v>8.25</v>
      </c>
      <c r="AJ160" s="419">
        <f>(1+Sensitivity_Rec_Consent)*(Standard_Process_Effort*(1+PM_Overhead)*$AE160)</f>
        <v>8.25</v>
      </c>
      <c r="AK160" s="419">
        <f>(1+Sensitivity_Rec_Consent)*0</f>
        <v>0</v>
      </c>
      <c r="AL160" s="419">
        <f>(1+Sensitivity_Rec_Consent)*0</f>
        <v>0</v>
      </c>
      <c r="AM160" s="419">
        <f>(1+Sensitivity_Rec_Consent)*(Standard_Process_Effort*(1+PM_Overhead)*$AE160)*TierC_TierB_ratio</f>
        <v>4.125</v>
      </c>
      <c r="AN160" s="419">
        <f>AM160</f>
        <v>4.125</v>
      </c>
      <c r="AO160" s="419">
        <f>(1+Sensitivity_Rec_Consent)*0</f>
        <v>0</v>
      </c>
      <c r="AP160" s="264"/>
      <c r="AQ160" s="264"/>
      <c r="AR160" s="426" t="s">
        <v>226</v>
      </c>
      <c r="AS160" s="467"/>
      <c r="AT160" s="374">
        <v>0.25</v>
      </c>
      <c r="AU160" s="263"/>
      <c r="AV160" s="419">
        <f>(1+Sensitivity_Rec_Consent)*(Standard_Process_Effort*(1+PM_Overhead)*$AT160)</f>
        <v>8.25</v>
      </c>
      <c r="AW160" s="419">
        <f>(1+Sensitivity_Rec_Consent)*(Standard_Process_Effort*(1+PM_Overhead)*$AT160)</f>
        <v>8.25</v>
      </c>
      <c r="AX160" s="419">
        <f>(1+Sensitivity_Rec_Consent)*(Standard_Process_Effort*(1+PM_Overhead)*$AT160)</f>
        <v>8.25</v>
      </c>
      <c r="AY160" s="419">
        <f>(1+Sensitivity_Rec_Consent)*(Standard_Process_Effort*(1+PM_Overhead)*$AT160)</f>
        <v>8.25</v>
      </c>
      <c r="AZ160" s="419">
        <f>(1+Sensitivity_Rec_Consent)*0</f>
        <v>0</v>
      </c>
      <c r="BA160" s="419">
        <f>(1+Sensitivity_Rec_Consent)*0</f>
        <v>0</v>
      </c>
      <c r="BB160" s="419">
        <f>(1+Sensitivity_Rec_Consent)*(Standard_Process_Effort*(1+PM_Overhead)*$AT160)*TierC_TierB_ratio</f>
        <v>4.125</v>
      </c>
      <c r="BC160" s="419">
        <f>BB160</f>
        <v>4.125</v>
      </c>
      <c r="BD160" s="419">
        <f>(1+Sensitivity_Rec_Consent)*0</f>
        <v>0</v>
      </c>
      <c r="BE160" s="264"/>
      <c r="BF160" s="426" t="s">
        <v>226</v>
      </c>
      <c r="BG160" s="467"/>
      <c r="BH160" s="374">
        <v>0.25</v>
      </c>
      <c r="BI160" s="263"/>
      <c r="BJ160" s="419">
        <f>(1+Sensitivity_Rec_Consent)*(Standard_Process_Effort*(1+PM_Overhead)*$BH160)</f>
        <v>8.25</v>
      </c>
      <c r="BK160" s="419">
        <f>(1+Sensitivity_Rec_Consent)*(Standard_Process_Effort*(1+PM_Overhead)*$BH160)</f>
        <v>8.25</v>
      </c>
      <c r="BL160" s="419">
        <f>(1+Sensitivity_Rec_Consent)*(Standard_Process_Effort*(1+PM_Overhead)*$BH160)</f>
        <v>8.25</v>
      </c>
      <c r="BM160" s="419">
        <f>(1+Sensitivity_Rec_Consent)*(Standard_Process_Effort*(1+PM_Overhead)*$BH160)</f>
        <v>8.25</v>
      </c>
      <c r="BN160" s="419">
        <f>(1+Sensitivity_Rec_Consent)*0</f>
        <v>0</v>
      </c>
      <c r="BO160" s="419">
        <f>(1+Sensitivity_Rec_Consent)*0</f>
        <v>0</v>
      </c>
      <c r="BP160" s="419">
        <f>(1+Sensitivity_Rec_Consent)*(Standard_Process_Effort*(1+PM_Overhead)*$BH160)*TierC_TierB_ratio</f>
        <v>4.125</v>
      </c>
      <c r="BQ160" s="419">
        <f>BP160</f>
        <v>4.125</v>
      </c>
      <c r="BR160" s="419">
        <f>(1+Sensitivity_Rec_Consent)*0</f>
        <v>0</v>
      </c>
      <c r="BS160" s="263"/>
    </row>
    <row r="161" spans="1:71" ht="24" customHeight="1" outlineLevel="1" x14ac:dyDescent="0.2">
      <c r="A161" s="312"/>
      <c r="B161" s="437" t="s">
        <v>108</v>
      </c>
      <c r="C161" s="171" t="s">
        <v>161</v>
      </c>
      <c r="D161" s="432" t="s">
        <v>109</v>
      </c>
      <c r="E161" s="432" t="s">
        <v>139</v>
      </c>
      <c r="F161" s="433" t="s">
        <v>49</v>
      </c>
      <c r="G161" s="426" t="s">
        <v>47</v>
      </c>
      <c r="H161" s="517" t="s">
        <v>118</v>
      </c>
      <c r="I161" s="769"/>
      <c r="J161" s="436"/>
      <c r="K161" s="467"/>
      <c r="L161" s="467"/>
      <c r="M161" s="467"/>
      <c r="N161" s="264"/>
      <c r="O161" s="426"/>
      <c r="P161" s="264"/>
      <c r="Q161" s="264"/>
      <c r="R161" s="264"/>
      <c r="S161" s="374">
        <v>0.2</v>
      </c>
      <c r="T161" s="374">
        <v>0.2</v>
      </c>
      <c r="U161" s="374">
        <v>0.2</v>
      </c>
      <c r="V161" s="374">
        <v>0.2</v>
      </c>
      <c r="W161" s="374">
        <v>0.2</v>
      </c>
      <c r="X161" s="374">
        <v>0.2</v>
      </c>
      <c r="Y161" s="374">
        <v>0.2</v>
      </c>
      <c r="Z161" s="374">
        <v>0.2</v>
      </c>
      <c r="AA161" s="374">
        <v>0.2</v>
      </c>
      <c r="AB161" s="264"/>
      <c r="AC161" s="426"/>
      <c r="AD161" s="467"/>
      <c r="AE161" s="264"/>
      <c r="AF161" s="263"/>
      <c r="AG161" s="374">
        <v>0.2</v>
      </c>
      <c r="AH161" s="374">
        <v>0.2</v>
      </c>
      <c r="AI161" s="374">
        <v>0.2</v>
      </c>
      <c r="AJ161" s="374">
        <v>0.2</v>
      </c>
      <c r="AK161" s="374">
        <v>0.2</v>
      </c>
      <c r="AL161" s="374">
        <v>0.2</v>
      </c>
      <c r="AM161" s="374">
        <v>0.2</v>
      </c>
      <c r="AN161" s="374">
        <v>0.2</v>
      </c>
      <c r="AO161" s="374">
        <v>0.2</v>
      </c>
      <c r="AP161" s="264"/>
      <c r="AQ161" s="264"/>
      <c r="AR161" s="426"/>
      <c r="AS161" s="467"/>
      <c r="AT161" s="264"/>
      <c r="AU161" s="263"/>
      <c r="AV161" s="374">
        <v>0.2</v>
      </c>
      <c r="AW161" s="374">
        <v>0.2</v>
      </c>
      <c r="AX161" s="374">
        <v>0.2</v>
      </c>
      <c r="AY161" s="374">
        <v>0.2</v>
      </c>
      <c r="AZ161" s="374">
        <v>0.2</v>
      </c>
      <c r="BA161" s="374">
        <v>0.2</v>
      </c>
      <c r="BB161" s="374">
        <v>0.2</v>
      </c>
      <c r="BC161" s="374">
        <v>0.2</v>
      </c>
      <c r="BD161" s="374">
        <v>0.2</v>
      </c>
      <c r="BE161" s="264"/>
      <c r="BF161" s="426"/>
      <c r="BG161" s="467"/>
      <c r="BH161" s="264"/>
      <c r="BI161" s="263"/>
      <c r="BJ161" s="374">
        <v>0.2</v>
      </c>
      <c r="BK161" s="374">
        <v>0.2</v>
      </c>
      <c r="BL161" s="374">
        <v>0.2</v>
      </c>
      <c r="BM161" s="374">
        <v>0.2</v>
      </c>
      <c r="BN161" s="374">
        <v>0.2</v>
      </c>
      <c r="BO161" s="374">
        <v>0.2</v>
      </c>
      <c r="BP161" s="374">
        <v>0.2</v>
      </c>
      <c r="BQ161" s="374">
        <v>0.2</v>
      </c>
      <c r="BR161" s="374">
        <v>0.2</v>
      </c>
      <c r="BS161" s="263"/>
    </row>
    <row r="162" spans="1:71" ht="24" customHeight="1" outlineLevel="1" x14ac:dyDescent="0.2">
      <c r="A162" s="312"/>
      <c r="B162" s="437" t="s">
        <v>108</v>
      </c>
      <c r="C162" s="171" t="s">
        <v>161</v>
      </c>
      <c r="D162" s="432" t="s">
        <v>109</v>
      </c>
      <c r="E162" s="432" t="s">
        <v>139</v>
      </c>
      <c r="F162" s="433" t="s">
        <v>51</v>
      </c>
      <c r="G162" s="426" t="s">
        <v>50</v>
      </c>
      <c r="H162" s="517" t="s">
        <v>117</v>
      </c>
      <c r="I162" s="769"/>
      <c r="J162" s="435"/>
      <c r="K162" s="436"/>
      <c r="L162" s="436"/>
      <c r="M162" s="436"/>
      <c r="N162" s="264"/>
      <c r="O162" s="598" t="s">
        <v>196</v>
      </c>
      <c r="P162" s="264"/>
      <c r="Q162" s="374">
        <v>0.25</v>
      </c>
      <c r="R162" s="264"/>
      <c r="S162" s="419">
        <f>(1+Sensitivity_Rec_Consent)*0</f>
        <v>0</v>
      </c>
      <c r="T162" s="419">
        <f>(1+Sensitivity_Rec_Consent)*Training_Duration*$Q162</f>
        <v>0.5</v>
      </c>
      <c r="U162" s="419">
        <f t="shared" ref="U162:AA162" si="172">(1+Sensitivity_Rec_Consent)*0</f>
        <v>0</v>
      </c>
      <c r="V162" s="419">
        <f t="shared" si="172"/>
        <v>0</v>
      </c>
      <c r="W162" s="419">
        <f t="shared" si="172"/>
        <v>0</v>
      </c>
      <c r="X162" s="419">
        <f t="shared" si="172"/>
        <v>0</v>
      </c>
      <c r="Y162" s="419">
        <f t="shared" si="172"/>
        <v>0</v>
      </c>
      <c r="Z162" s="419">
        <f t="shared" si="172"/>
        <v>0</v>
      </c>
      <c r="AA162" s="419">
        <f t="shared" si="172"/>
        <v>0</v>
      </c>
      <c r="AB162" s="264"/>
      <c r="AC162" s="598" t="s">
        <v>196</v>
      </c>
      <c r="AD162" s="436"/>
      <c r="AE162" s="374">
        <v>0.25</v>
      </c>
      <c r="AF162" s="263"/>
      <c r="AG162" s="419">
        <f>(1+Sensitivity_Rec_Consent)*0</f>
        <v>0</v>
      </c>
      <c r="AH162" s="419">
        <f>(1+Sensitivity_Rec_Consent)*Training_Duration*$AE162</f>
        <v>0.5</v>
      </c>
      <c r="AI162" s="419">
        <f t="shared" ref="AI162:AO162" si="173">(1+Sensitivity_Rec_Consent)*0</f>
        <v>0</v>
      </c>
      <c r="AJ162" s="419">
        <f t="shared" si="173"/>
        <v>0</v>
      </c>
      <c r="AK162" s="419">
        <f t="shared" si="173"/>
        <v>0</v>
      </c>
      <c r="AL162" s="419">
        <f t="shared" si="173"/>
        <v>0</v>
      </c>
      <c r="AM162" s="419">
        <f t="shared" si="173"/>
        <v>0</v>
      </c>
      <c r="AN162" s="419">
        <f t="shared" si="173"/>
        <v>0</v>
      </c>
      <c r="AO162" s="419">
        <f t="shared" si="173"/>
        <v>0</v>
      </c>
      <c r="AP162" s="264"/>
      <c r="AQ162" s="264"/>
      <c r="AR162" s="598" t="s">
        <v>196</v>
      </c>
      <c r="AS162" s="436"/>
      <c r="AT162" s="374">
        <v>0.25</v>
      </c>
      <c r="AU162" s="263"/>
      <c r="AV162" s="419">
        <f>(1+Sensitivity_Rec_Consent)*0</f>
        <v>0</v>
      </c>
      <c r="AW162" s="419">
        <f>(1+Sensitivity_Rec_Consent)*Training_Duration*$AT162</f>
        <v>0.5</v>
      </c>
      <c r="AX162" s="419">
        <f t="shared" ref="AX162:BD162" si="174">(1+Sensitivity_Rec_Consent)*0</f>
        <v>0</v>
      </c>
      <c r="AY162" s="419">
        <f t="shared" si="174"/>
        <v>0</v>
      </c>
      <c r="AZ162" s="419">
        <f t="shared" si="174"/>
        <v>0</v>
      </c>
      <c r="BA162" s="419">
        <f t="shared" si="174"/>
        <v>0</v>
      </c>
      <c r="BB162" s="419">
        <f t="shared" si="174"/>
        <v>0</v>
      </c>
      <c r="BC162" s="419">
        <f t="shared" si="174"/>
        <v>0</v>
      </c>
      <c r="BD162" s="419">
        <f t="shared" si="174"/>
        <v>0</v>
      </c>
      <c r="BE162" s="264"/>
      <c r="BF162" s="598" t="s">
        <v>196</v>
      </c>
      <c r="BG162" s="436"/>
      <c r="BH162" s="374">
        <v>0.25</v>
      </c>
      <c r="BI162" s="263"/>
      <c r="BJ162" s="419">
        <f>(1+Sensitivity_Rec_Consent)*0</f>
        <v>0</v>
      </c>
      <c r="BK162" s="419">
        <f>(1+Sensitivity_Rec_Consent)*Training_Duration*$BH162</f>
        <v>0.5</v>
      </c>
      <c r="BL162" s="419">
        <f t="shared" ref="BL162:BR162" si="175">(1+Sensitivity_Rec_Consent)*0</f>
        <v>0</v>
      </c>
      <c r="BM162" s="419">
        <f t="shared" si="175"/>
        <v>0</v>
      </c>
      <c r="BN162" s="419">
        <f t="shared" si="175"/>
        <v>0</v>
      </c>
      <c r="BO162" s="419">
        <f t="shared" si="175"/>
        <v>0</v>
      </c>
      <c r="BP162" s="419">
        <f t="shared" si="175"/>
        <v>0</v>
      </c>
      <c r="BQ162" s="419">
        <f t="shared" si="175"/>
        <v>0</v>
      </c>
      <c r="BR162" s="419">
        <f t="shared" si="175"/>
        <v>0</v>
      </c>
      <c r="BS162" s="263"/>
    </row>
    <row r="163" spans="1:71" ht="24" customHeight="1" outlineLevel="1" x14ac:dyDescent="0.2">
      <c r="A163" s="312"/>
      <c r="B163" s="437" t="s">
        <v>108</v>
      </c>
      <c r="C163" s="171" t="s">
        <v>161</v>
      </c>
      <c r="D163" s="432" t="s">
        <v>109</v>
      </c>
      <c r="E163" s="432" t="s">
        <v>139</v>
      </c>
      <c r="F163" s="433" t="s">
        <v>48</v>
      </c>
      <c r="G163" s="426" t="s">
        <v>50</v>
      </c>
      <c r="H163" s="517" t="s">
        <v>153</v>
      </c>
      <c r="I163" s="770"/>
      <c r="J163" s="436"/>
      <c r="K163" s="467"/>
      <c r="L163" s="467"/>
      <c r="M163" s="467"/>
      <c r="N163" s="264"/>
      <c r="O163" s="426" t="s">
        <v>218</v>
      </c>
      <c r="P163" s="264"/>
      <c r="Q163" s="264"/>
      <c r="R163" s="264"/>
      <c r="S163" s="419">
        <v>0</v>
      </c>
      <c r="T163" s="419">
        <v>0</v>
      </c>
      <c r="U163" s="419">
        <v>0</v>
      </c>
      <c r="V163" s="419">
        <v>0</v>
      </c>
      <c r="W163" s="419">
        <v>0</v>
      </c>
      <c r="X163" s="419">
        <v>0</v>
      </c>
      <c r="Y163" s="419">
        <v>0</v>
      </c>
      <c r="Z163" s="419">
        <v>0</v>
      </c>
      <c r="AA163" s="419">
        <v>0</v>
      </c>
      <c r="AB163" s="264"/>
      <c r="AC163" s="426" t="s">
        <v>218</v>
      </c>
      <c r="AD163" s="467"/>
      <c r="AE163" s="264"/>
      <c r="AF163" s="263"/>
      <c r="AG163" s="419">
        <v>0</v>
      </c>
      <c r="AH163" s="419">
        <v>0</v>
      </c>
      <c r="AI163" s="419">
        <v>0</v>
      </c>
      <c r="AJ163" s="419">
        <v>0</v>
      </c>
      <c r="AK163" s="419">
        <v>0</v>
      </c>
      <c r="AL163" s="419">
        <v>0</v>
      </c>
      <c r="AM163" s="419">
        <v>0</v>
      </c>
      <c r="AN163" s="419">
        <v>0</v>
      </c>
      <c r="AO163" s="419">
        <v>0</v>
      </c>
      <c r="AP163" s="264"/>
      <c r="AQ163" s="264"/>
      <c r="AR163" s="426" t="s">
        <v>218</v>
      </c>
      <c r="AS163" s="467"/>
      <c r="AT163" s="264"/>
      <c r="AU163" s="263"/>
      <c r="AV163" s="419">
        <v>0</v>
      </c>
      <c r="AW163" s="419">
        <v>0</v>
      </c>
      <c r="AX163" s="419">
        <v>0</v>
      </c>
      <c r="AY163" s="419">
        <v>0</v>
      </c>
      <c r="AZ163" s="419">
        <v>0</v>
      </c>
      <c r="BA163" s="419">
        <v>0</v>
      </c>
      <c r="BB163" s="419">
        <v>0</v>
      </c>
      <c r="BC163" s="419">
        <v>0</v>
      </c>
      <c r="BD163" s="419">
        <v>0</v>
      </c>
      <c r="BE163" s="264"/>
      <c r="BF163" s="426" t="s">
        <v>218</v>
      </c>
      <c r="BG163" s="467"/>
      <c r="BH163" s="264"/>
      <c r="BI163" s="263"/>
      <c r="BJ163" s="419">
        <v>0</v>
      </c>
      <c r="BK163" s="419">
        <v>0</v>
      </c>
      <c r="BL163" s="419">
        <v>0</v>
      </c>
      <c r="BM163" s="419">
        <v>0</v>
      </c>
      <c r="BN163" s="419">
        <v>0</v>
      </c>
      <c r="BO163" s="419">
        <v>0</v>
      </c>
      <c r="BP163" s="419">
        <v>0</v>
      </c>
      <c r="BQ163" s="419">
        <v>0</v>
      </c>
      <c r="BR163" s="419">
        <v>0</v>
      </c>
      <c r="BS163" s="263"/>
    </row>
    <row r="164" spans="1:71" s="139" customFormat="1" ht="24" customHeight="1" outlineLevel="1" x14ac:dyDescent="0.2">
      <c r="A164" s="520"/>
      <c r="B164" s="521"/>
      <c r="C164" s="522"/>
      <c r="D164" s="523"/>
      <c r="E164" s="523"/>
      <c r="F164" s="440"/>
      <c r="G164" s="525"/>
      <c r="H164" s="484" t="s">
        <v>205</v>
      </c>
      <c r="I164" s="436"/>
      <c r="J164" s="436"/>
      <c r="K164" s="467"/>
      <c r="L164" s="467"/>
      <c r="M164" s="467"/>
      <c r="N164" s="265"/>
      <c r="O164" s="525"/>
      <c r="P164" s="265"/>
      <c r="Q164" s="527">
        <f>SUMIF($H$148:$H$163,$H$148,Q$148:Q$163)</f>
        <v>1</v>
      </c>
      <c r="R164" s="265"/>
      <c r="S164" s="486">
        <f>SUMIF($H$148:$H$163,$H$148,S$148:S$163)</f>
        <v>33</v>
      </c>
      <c r="T164" s="486">
        <f t="shared" ref="T164:AA164" si="176">SUMIF($H$148:$H$163,$H$148,T$148:T$163)</f>
        <v>33</v>
      </c>
      <c r="U164" s="486">
        <f t="shared" si="176"/>
        <v>33</v>
      </c>
      <c r="V164" s="486">
        <f t="shared" si="176"/>
        <v>33</v>
      </c>
      <c r="W164" s="486">
        <f t="shared" si="176"/>
        <v>0</v>
      </c>
      <c r="X164" s="486">
        <f t="shared" si="176"/>
        <v>0</v>
      </c>
      <c r="Y164" s="486">
        <f>SUMIF($H$148:$H$163,$H$148,Y$148:Y$163)</f>
        <v>16.5</v>
      </c>
      <c r="Z164" s="486">
        <f t="shared" si="176"/>
        <v>16.5</v>
      </c>
      <c r="AA164" s="486">
        <f t="shared" si="176"/>
        <v>0</v>
      </c>
      <c r="AB164" s="265"/>
      <c r="AC164" s="525"/>
      <c r="AD164" s="467"/>
      <c r="AE164" s="527">
        <f>SUMIF($H$148:$H$163,$H$148,AE$148:AE$163)</f>
        <v>1</v>
      </c>
      <c r="AF164" s="265"/>
      <c r="AG164" s="486">
        <f>SUMIF($H$148:$H$163,$H$148,AG$148:AG$163)</f>
        <v>33</v>
      </c>
      <c r="AH164" s="486">
        <f t="shared" ref="AH164:AO164" si="177">SUMIF($H$148:$H$163,$H$148,AH$148:AH$163)</f>
        <v>33</v>
      </c>
      <c r="AI164" s="486">
        <f t="shared" si="177"/>
        <v>33</v>
      </c>
      <c r="AJ164" s="486">
        <f t="shared" si="177"/>
        <v>33</v>
      </c>
      <c r="AK164" s="486">
        <f t="shared" si="177"/>
        <v>0</v>
      </c>
      <c r="AL164" s="486">
        <f t="shared" si="177"/>
        <v>0</v>
      </c>
      <c r="AM164" s="486">
        <f t="shared" si="177"/>
        <v>16.5</v>
      </c>
      <c r="AN164" s="486">
        <f t="shared" si="177"/>
        <v>16.5</v>
      </c>
      <c r="AO164" s="486">
        <f t="shared" si="177"/>
        <v>0</v>
      </c>
      <c r="AP164" s="265"/>
      <c r="AQ164" s="265"/>
      <c r="AR164" s="525"/>
      <c r="AS164" s="467"/>
      <c r="AT164" s="527">
        <f>SUMIF($H$148:$H$163,$H$148,AT$148:AT$163)</f>
        <v>1</v>
      </c>
      <c r="AU164" s="265"/>
      <c r="AV164" s="486">
        <f>SUMIF($H$148:$H$163,$H$148,AV$148:AV$163)</f>
        <v>33</v>
      </c>
      <c r="AW164" s="486">
        <f t="shared" ref="AW164:BD164" si="178">SUMIF($H$148:$H$163,$H$148,AW$148:AW$163)</f>
        <v>33</v>
      </c>
      <c r="AX164" s="486">
        <f t="shared" si="178"/>
        <v>33</v>
      </c>
      <c r="AY164" s="486">
        <f t="shared" si="178"/>
        <v>33</v>
      </c>
      <c r="AZ164" s="486">
        <f t="shared" si="178"/>
        <v>0</v>
      </c>
      <c r="BA164" s="486">
        <f t="shared" si="178"/>
        <v>0</v>
      </c>
      <c r="BB164" s="486">
        <f t="shared" si="178"/>
        <v>16.5</v>
      </c>
      <c r="BC164" s="486">
        <f t="shared" si="178"/>
        <v>16.5</v>
      </c>
      <c r="BD164" s="486">
        <f t="shared" si="178"/>
        <v>0</v>
      </c>
      <c r="BE164" s="265"/>
      <c r="BF164" s="525"/>
      <c r="BG164" s="467"/>
      <c r="BH164" s="527">
        <f>SUMIF($H$148:$H$163,$H$148,BH$148:BH$163)</f>
        <v>1</v>
      </c>
      <c r="BI164" s="265"/>
      <c r="BJ164" s="486">
        <f>SUMIF($H$148:$H$163,$H$148,BJ$148:BJ$163)</f>
        <v>33</v>
      </c>
      <c r="BK164" s="486">
        <f t="shared" ref="BK164:BR164" si="179">SUMIF($H$148:$H$163,$H$148,BK$148:BK$163)</f>
        <v>33</v>
      </c>
      <c r="BL164" s="486">
        <f t="shared" si="179"/>
        <v>33</v>
      </c>
      <c r="BM164" s="486">
        <f t="shared" si="179"/>
        <v>33</v>
      </c>
      <c r="BN164" s="486">
        <f t="shared" si="179"/>
        <v>0</v>
      </c>
      <c r="BO164" s="486">
        <f t="shared" si="179"/>
        <v>0</v>
      </c>
      <c r="BP164" s="486">
        <f t="shared" si="179"/>
        <v>16.5</v>
      </c>
      <c r="BQ164" s="486">
        <f t="shared" si="179"/>
        <v>16.5</v>
      </c>
      <c r="BR164" s="486">
        <f t="shared" si="179"/>
        <v>0</v>
      </c>
      <c r="BS164" s="265"/>
    </row>
    <row r="165" spans="1:71" s="139" customFormat="1" ht="24" customHeight="1" outlineLevel="1" x14ac:dyDescent="0.2">
      <c r="A165" s="520"/>
      <c r="B165" s="521"/>
      <c r="C165" s="522"/>
      <c r="D165" s="523"/>
      <c r="E165" s="523"/>
      <c r="F165" s="440"/>
      <c r="G165" s="525"/>
      <c r="H165" s="484" t="s">
        <v>216</v>
      </c>
      <c r="I165" s="436"/>
      <c r="J165" s="436"/>
      <c r="K165" s="467"/>
      <c r="L165" s="467"/>
      <c r="M165" s="467"/>
      <c r="N165" s="265"/>
      <c r="O165" s="525"/>
      <c r="P165" s="265"/>
      <c r="Q165" s="527">
        <f>SUMIF($H$148:$H$163,$H$150,Q$148:Q$163)</f>
        <v>1</v>
      </c>
      <c r="R165" s="265"/>
      <c r="S165" s="486">
        <f>SUMIF($H$148:$H$163,$H$150,S$148:S$163)</f>
        <v>0</v>
      </c>
      <c r="T165" s="486">
        <f t="shared" ref="T165:AA165" si="180">SUMIF($H$148:$H$163,$H$150,T$148:T$163)</f>
        <v>2</v>
      </c>
      <c r="U165" s="486">
        <f t="shared" si="180"/>
        <v>0</v>
      </c>
      <c r="V165" s="486">
        <f t="shared" si="180"/>
        <v>0</v>
      </c>
      <c r="W165" s="486">
        <f t="shared" si="180"/>
        <v>0</v>
      </c>
      <c r="X165" s="486">
        <f t="shared" si="180"/>
        <v>0</v>
      </c>
      <c r="Y165" s="486">
        <f>SUMIF($H$148:$H$163,$H$150,Y$148:Y$163)</f>
        <v>0</v>
      </c>
      <c r="Z165" s="486">
        <f t="shared" si="180"/>
        <v>0</v>
      </c>
      <c r="AA165" s="486">
        <f t="shared" si="180"/>
        <v>0</v>
      </c>
      <c r="AB165" s="265"/>
      <c r="AC165" s="525"/>
      <c r="AD165" s="467"/>
      <c r="AE165" s="527">
        <f>SUMIF($H$148:$H$163,$H$150,AE$148:AE$163)</f>
        <v>1</v>
      </c>
      <c r="AF165" s="265"/>
      <c r="AG165" s="486">
        <f>SUMIF($H$148:$H$163,$H$150,AG$148:AG$163)</f>
        <v>0</v>
      </c>
      <c r="AH165" s="486">
        <f t="shared" ref="AH165:AO165" si="181">SUMIF($H$148:$H$163,$H$150,AH$148:AH$163)</f>
        <v>2</v>
      </c>
      <c r="AI165" s="486">
        <f t="shared" si="181"/>
        <v>0</v>
      </c>
      <c r="AJ165" s="486">
        <f t="shared" si="181"/>
        <v>0</v>
      </c>
      <c r="AK165" s="486">
        <f t="shared" si="181"/>
        <v>0</v>
      </c>
      <c r="AL165" s="486">
        <f t="shared" si="181"/>
        <v>0</v>
      </c>
      <c r="AM165" s="486">
        <f t="shared" si="181"/>
        <v>0</v>
      </c>
      <c r="AN165" s="486">
        <f t="shared" si="181"/>
        <v>0</v>
      </c>
      <c r="AO165" s="486">
        <f t="shared" si="181"/>
        <v>0</v>
      </c>
      <c r="AP165" s="265"/>
      <c r="AQ165" s="265"/>
      <c r="AR165" s="525"/>
      <c r="AS165" s="467"/>
      <c r="AT165" s="527">
        <f>SUMIF($H$148:$H$163,$H$150,AT$148:AT$163)</f>
        <v>1</v>
      </c>
      <c r="AU165" s="265"/>
      <c r="AV165" s="486">
        <f>SUMIF($H$148:$H$163,$H$150,AV$148:AV$163)</f>
        <v>0</v>
      </c>
      <c r="AW165" s="486">
        <f t="shared" ref="AW165:BD165" si="182">SUMIF($H$148:$H$163,$H$150,AW$148:AW$163)</f>
        <v>2</v>
      </c>
      <c r="AX165" s="486">
        <f t="shared" si="182"/>
        <v>0</v>
      </c>
      <c r="AY165" s="486">
        <f t="shared" si="182"/>
        <v>0</v>
      </c>
      <c r="AZ165" s="486">
        <f t="shared" si="182"/>
        <v>0</v>
      </c>
      <c r="BA165" s="486">
        <f t="shared" si="182"/>
        <v>0</v>
      </c>
      <c r="BB165" s="486">
        <f t="shared" si="182"/>
        <v>0</v>
      </c>
      <c r="BC165" s="486">
        <f t="shared" si="182"/>
        <v>0</v>
      </c>
      <c r="BD165" s="486">
        <f t="shared" si="182"/>
        <v>0</v>
      </c>
      <c r="BE165" s="265"/>
      <c r="BF165" s="525"/>
      <c r="BG165" s="467"/>
      <c r="BH165" s="527">
        <f>SUMIF($H$148:$H$163,$H$150,BH$148:BH$163)</f>
        <v>1</v>
      </c>
      <c r="BI165" s="265"/>
      <c r="BJ165" s="486">
        <f>SUMIF($H$148:$H$163,$H$150,BJ$148:BJ$163)</f>
        <v>0</v>
      </c>
      <c r="BK165" s="486">
        <f t="shared" ref="BK165:BR165" si="183">SUMIF($H$148:$H$163,$H$150,BK$148:BK$163)</f>
        <v>2</v>
      </c>
      <c r="BL165" s="486">
        <f t="shared" si="183"/>
        <v>0</v>
      </c>
      <c r="BM165" s="486">
        <f t="shared" si="183"/>
        <v>0</v>
      </c>
      <c r="BN165" s="486">
        <f t="shared" si="183"/>
        <v>0</v>
      </c>
      <c r="BO165" s="486">
        <f t="shared" si="183"/>
        <v>0</v>
      </c>
      <c r="BP165" s="486">
        <f t="shared" si="183"/>
        <v>0</v>
      </c>
      <c r="BQ165" s="486">
        <f t="shared" si="183"/>
        <v>0</v>
      </c>
      <c r="BR165" s="486">
        <f t="shared" si="183"/>
        <v>0</v>
      </c>
      <c r="BS165" s="265"/>
    </row>
    <row r="166" spans="1:71" s="139" customFormat="1" ht="24" customHeight="1" outlineLevel="1" x14ac:dyDescent="0.2">
      <c r="A166" s="520"/>
      <c r="B166" s="521"/>
      <c r="C166" s="522"/>
      <c r="D166" s="523"/>
      <c r="E166" s="523"/>
      <c r="F166" s="440"/>
      <c r="G166" s="525"/>
      <c r="H166" s="523"/>
      <c r="I166" s="436"/>
      <c r="J166" s="436"/>
      <c r="K166" s="467"/>
      <c r="L166" s="467"/>
      <c r="M166" s="467"/>
      <c r="N166" s="265"/>
      <c r="O166" s="525"/>
      <c r="P166" s="265"/>
      <c r="Q166" s="265"/>
      <c r="R166" s="265"/>
      <c r="S166" s="527"/>
      <c r="T166" s="527"/>
      <c r="U166" s="527"/>
      <c r="V166" s="527"/>
      <c r="W166" s="527"/>
      <c r="X166" s="527"/>
      <c r="Y166" s="527"/>
      <c r="Z166" s="527"/>
      <c r="AA166" s="527"/>
      <c r="AB166" s="265"/>
      <c r="AC166" s="525"/>
      <c r="AD166" s="467"/>
      <c r="AE166" s="265"/>
      <c r="AF166" s="265"/>
      <c r="AG166" s="527"/>
      <c r="AH166" s="527"/>
      <c r="AI166" s="527"/>
      <c r="AJ166" s="527"/>
      <c r="AK166" s="527"/>
      <c r="AL166" s="527"/>
      <c r="AM166" s="527"/>
      <c r="AN166" s="527"/>
      <c r="AO166" s="527"/>
      <c r="AP166" s="265"/>
      <c r="AQ166" s="265"/>
      <c r="AR166" s="525"/>
      <c r="AS166" s="467"/>
      <c r="AT166" s="265"/>
      <c r="AU166" s="265"/>
      <c r="AV166" s="527"/>
      <c r="AW166" s="527"/>
      <c r="AX166" s="527"/>
      <c r="AY166" s="527"/>
      <c r="AZ166" s="527"/>
      <c r="BA166" s="527"/>
      <c r="BB166" s="527"/>
      <c r="BC166" s="527"/>
      <c r="BD166" s="527"/>
      <c r="BE166" s="265"/>
      <c r="BF166" s="525"/>
      <c r="BG166" s="467"/>
      <c r="BH166" s="265"/>
      <c r="BI166" s="265"/>
      <c r="BJ166" s="527"/>
      <c r="BK166" s="527"/>
      <c r="BL166" s="527"/>
      <c r="BM166" s="527"/>
      <c r="BN166" s="527"/>
      <c r="BO166" s="527"/>
      <c r="BP166" s="527"/>
      <c r="BQ166" s="527"/>
      <c r="BR166" s="527"/>
      <c r="BS166" s="265"/>
    </row>
    <row r="167" spans="1:71" ht="24" customHeight="1" outlineLevel="1" x14ac:dyDescent="0.2">
      <c r="A167" s="312"/>
      <c r="B167" s="546" t="s">
        <v>108</v>
      </c>
      <c r="C167" s="547" t="s">
        <v>161</v>
      </c>
      <c r="D167" s="470" t="s">
        <v>111</v>
      </c>
      <c r="E167" s="456" t="s">
        <v>140</v>
      </c>
      <c r="F167" s="457" t="s">
        <v>61</v>
      </c>
      <c r="G167" s="470" t="s">
        <v>50</v>
      </c>
      <c r="H167" s="599" t="s">
        <v>152</v>
      </c>
      <c r="I167" s="732" t="s">
        <v>241</v>
      </c>
      <c r="J167" s="453"/>
      <c r="K167" s="454"/>
      <c r="L167" s="454"/>
      <c r="M167" s="454"/>
      <c r="N167" s="264"/>
      <c r="O167" s="579" t="s">
        <v>226</v>
      </c>
      <c r="P167" s="264"/>
      <c r="Q167" s="374">
        <v>0.2</v>
      </c>
      <c r="R167" s="264"/>
      <c r="S167" s="419">
        <f>(1+Sensitivity_Rec_Consent)*0</f>
        <v>0</v>
      </c>
      <c r="T167" s="419">
        <f>(1+Sensitivity_Rec_Consent)*(FE_Standard_Sys_Effort*(1+PM_Overhead)*$Q167)</f>
        <v>13.200000000000001</v>
      </c>
      <c r="U167" s="419">
        <f t="shared" ref="U167:AA168" si="184">(1+Sensitivity_Rec_Consent)*0</f>
        <v>0</v>
      </c>
      <c r="V167" s="419">
        <f t="shared" si="184"/>
        <v>0</v>
      </c>
      <c r="W167" s="419">
        <f t="shared" si="184"/>
        <v>0</v>
      </c>
      <c r="X167" s="419">
        <f t="shared" si="184"/>
        <v>0</v>
      </c>
      <c r="Y167" s="419">
        <f t="shared" si="184"/>
        <v>0</v>
      </c>
      <c r="Z167" s="419">
        <f t="shared" si="184"/>
        <v>0</v>
      </c>
      <c r="AA167" s="419">
        <f t="shared" si="184"/>
        <v>0</v>
      </c>
      <c r="AB167" s="264"/>
      <c r="AC167" s="579" t="s">
        <v>226</v>
      </c>
      <c r="AD167" s="454"/>
      <c r="AE167" s="374">
        <v>0.2</v>
      </c>
      <c r="AF167" s="263"/>
      <c r="AG167" s="419">
        <f>(1+Sensitivity_Rec_Consent)*0</f>
        <v>0</v>
      </c>
      <c r="AH167" s="419">
        <f>(1+Sensitivity_Rec_Consent)*(FE_Standard_Sys_Effort*(1+PM_Overhead)*$AE167)</f>
        <v>13.200000000000001</v>
      </c>
      <c r="AI167" s="419">
        <f t="shared" ref="AI167:AO168" si="185">(1+Sensitivity_Rec_Consent)*0</f>
        <v>0</v>
      </c>
      <c r="AJ167" s="419">
        <f t="shared" si="185"/>
        <v>0</v>
      </c>
      <c r="AK167" s="419">
        <f t="shared" si="185"/>
        <v>0</v>
      </c>
      <c r="AL167" s="419">
        <f t="shared" si="185"/>
        <v>0</v>
      </c>
      <c r="AM167" s="419">
        <f t="shared" si="185"/>
        <v>0</v>
      </c>
      <c r="AN167" s="419">
        <f t="shared" si="185"/>
        <v>0</v>
      </c>
      <c r="AO167" s="419">
        <f t="shared" si="185"/>
        <v>0</v>
      </c>
      <c r="AP167" s="264"/>
      <c r="AQ167" s="264"/>
      <c r="AR167" s="579" t="s">
        <v>226</v>
      </c>
      <c r="AS167" s="454"/>
      <c r="AT167" s="374">
        <v>0.2</v>
      </c>
      <c r="AU167" s="263"/>
      <c r="AV167" s="419">
        <f>(1+Sensitivity_Rec_Consent)*0</f>
        <v>0</v>
      </c>
      <c r="AW167" s="419">
        <f>(1+Sensitivity_Rec_Consent)*(FE_Standard_Sys_Effort*(1+PM_Overhead)*$AT167)</f>
        <v>13.200000000000001</v>
      </c>
      <c r="AX167" s="419">
        <f t="shared" ref="AX167:BD168" si="186">(1+Sensitivity_Rec_Consent)*0</f>
        <v>0</v>
      </c>
      <c r="AY167" s="419">
        <f t="shared" si="186"/>
        <v>0</v>
      </c>
      <c r="AZ167" s="419">
        <f t="shared" si="186"/>
        <v>0</v>
      </c>
      <c r="BA167" s="419">
        <f t="shared" si="186"/>
        <v>0</v>
      </c>
      <c r="BB167" s="419">
        <f t="shared" si="186"/>
        <v>0</v>
      </c>
      <c r="BC167" s="419">
        <f t="shared" si="186"/>
        <v>0</v>
      </c>
      <c r="BD167" s="419">
        <f t="shared" si="186"/>
        <v>0</v>
      </c>
      <c r="BE167" s="264"/>
      <c r="BF167" s="579" t="s">
        <v>226</v>
      </c>
      <c r="BG167" s="454"/>
      <c r="BH167" s="374">
        <v>0.2</v>
      </c>
      <c r="BI167" s="263"/>
      <c r="BJ167" s="419">
        <f>(1+Sensitivity_Rec_Consent)*0</f>
        <v>0</v>
      </c>
      <c r="BK167" s="419">
        <f>(1+Sensitivity_Rec_Consent)*(FE_Standard_Sys_Effort*(1+PM_Overhead)*$BH167)</f>
        <v>13.200000000000001</v>
      </c>
      <c r="BL167" s="419">
        <f t="shared" ref="BL167:BR168" si="187">(1+Sensitivity_Rec_Consent)*0</f>
        <v>0</v>
      </c>
      <c r="BM167" s="419">
        <f t="shared" si="187"/>
        <v>0</v>
      </c>
      <c r="BN167" s="419">
        <f t="shared" si="187"/>
        <v>0</v>
      </c>
      <c r="BO167" s="419">
        <f t="shared" si="187"/>
        <v>0</v>
      </c>
      <c r="BP167" s="419">
        <f t="shared" si="187"/>
        <v>0</v>
      </c>
      <c r="BQ167" s="419">
        <f t="shared" si="187"/>
        <v>0</v>
      </c>
      <c r="BR167" s="419">
        <f t="shared" si="187"/>
        <v>0</v>
      </c>
      <c r="BS167" s="263"/>
    </row>
    <row r="168" spans="1:71" ht="24" customHeight="1" outlineLevel="1" x14ac:dyDescent="0.2">
      <c r="A168" s="312"/>
      <c r="B168" s="546" t="s">
        <v>108</v>
      </c>
      <c r="C168" s="547" t="s">
        <v>161</v>
      </c>
      <c r="D168" s="470" t="s">
        <v>111</v>
      </c>
      <c r="E168" s="456" t="s">
        <v>140</v>
      </c>
      <c r="F168" s="457" t="s">
        <v>30</v>
      </c>
      <c r="G168" s="458" t="s">
        <v>50</v>
      </c>
      <c r="H168" s="599" t="s">
        <v>119</v>
      </c>
      <c r="I168" s="771"/>
      <c r="J168" s="453"/>
      <c r="K168" s="454"/>
      <c r="L168" s="454"/>
      <c r="M168" s="454"/>
      <c r="N168" s="264"/>
      <c r="O168" s="579" t="s">
        <v>197</v>
      </c>
      <c r="P168" s="264"/>
      <c r="Q168" s="374">
        <v>0.2</v>
      </c>
      <c r="R168" s="264"/>
      <c r="S168" s="419">
        <f>(1+Sensitivity_Rec_Consent)*0</f>
        <v>0</v>
      </c>
      <c r="T168" s="600">
        <f>(1+Sensitivity_Rec_Consent)*hw_record_consent_costs*$Q168</f>
        <v>10000</v>
      </c>
      <c r="U168" s="419">
        <f t="shared" si="184"/>
        <v>0</v>
      </c>
      <c r="V168" s="419">
        <f t="shared" si="184"/>
        <v>0</v>
      </c>
      <c r="W168" s="419">
        <f t="shared" si="184"/>
        <v>0</v>
      </c>
      <c r="X168" s="419">
        <f t="shared" si="184"/>
        <v>0</v>
      </c>
      <c r="Y168" s="419">
        <f t="shared" si="184"/>
        <v>0</v>
      </c>
      <c r="Z168" s="419">
        <f t="shared" si="184"/>
        <v>0</v>
      </c>
      <c r="AA168" s="419">
        <f t="shared" si="184"/>
        <v>0</v>
      </c>
      <c r="AB168" s="264"/>
      <c r="AC168" s="579" t="s">
        <v>197</v>
      </c>
      <c r="AD168" s="454"/>
      <c r="AE168" s="374">
        <v>0.2</v>
      </c>
      <c r="AF168" s="263"/>
      <c r="AG168" s="419">
        <f>(1+Sensitivity_Rec_Consent)*0</f>
        <v>0</v>
      </c>
      <c r="AH168" s="419">
        <f>(1+Sensitivity_Rec_Consent)*hw_record_consent_costs*$AE168</f>
        <v>10000</v>
      </c>
      <c r="AI168" s="419">
        <f t="shared" si="185"/>
        <v>0</v>
      </c>
      <c r="AJ168" s="419">
        <f t="shared" si="185"/>
        <v>0</v>
      </c>
      <c r="AK168" s="419">
        <f t="shared" si="185"/>
        <v>0</v>
      </c>
      <c r="AL168" s="419">
        <f t="shared" si="185"/>
        <v>0</v>
      </c>
      <c r="AM168" s="419">
        <f t="shared" si="185"/>
        <v>0</v>
      </c>
      <c r="AN168" s="419">
        <f t="shared" si="185"/>
        <v>0</v>
      </c>
      <c r="AO168" s="419">
        <f t="shared" si="185"/>
        <v>0</v>
      </c>
      <c r="AP168" s="264"/>
      <c r="AQ168" s="264"/>
      <c r="AR168" s="579" t="s">
        <v>197</v>
      </c>
      <c r="AS168" s="454"/>
      <c r="AT168" s="374">
        <v>0.2</v>
      </c>
      <c r="AU168" s="263"/>
      <c r="AV168" s="419">
        <f>(1+Sensitivity_Rec_Consent)*0</f>
        <v>0</v>
      </c>
      <c r="AW168" s="419">
        <f>(1+Sensitivity_Rec_Consent)*hw_record_consent_costs*$AT168</f>
        <v>10000</v>
      </c>
      <c r="AX168" s="419">
        <f t="shared" si="186"/>
        <v>0</v>
      </c>
      <c r="AY168" s="419">
        <f t="shared" si="186"/>
        <v>0</v>
      </c>
      <c r="AZ168" s="419">
        <f t="shared" si="186"/>
        <v>0</v>
      </c>
      <c r="BA168" s="419">
        <f t="shared" si="186"/>
        <v>0</v>
      </c>
      <c r="BB168" s="419">
        <f t="shared" si="186"/>
        <v>0</v>
      </c>
      <c r="BC168" s="419">
        <f t="shared" si="186"/>
        <v>0</v>
      </c>
      <c r="BD168" s="419">
        <f t="shared" si="186"/>
        <v>0</v>
      </c>
      <c r="BE168" s="264"/>
      <c r="BF168" s="579" t="s">
        <v>197</v>
      </c>
      <c r="BG168" s="454"/>
      <c r="BH168" s="374">
        <v>0.2</v>
      </c>
      <c r="BI168" s="263"/>
      <c r="BJ168" s="419">
        <f>(1+Sensitivity_Rec_Consent)*0</f>
        <v>0</v>
      </c>
      <c r="BK168" s="419">
        <f>(1+Sensitivity_Rec_Consent)*hw_record_consent_costs*$BH168</f>
        <v>10000</v>
      </c>
      <c r="BL168" s="419">
        <f t="shared" si="187"/>
        <v>0</v>
      </c>
      <c r="BM168" s="419">
        <f t="shared" si="187"/>
        <v>0</v>
      </c>
      <c r="BN168" s="419">
        <f t="shared" si="187"/>
        <v>0</v>
      </c>
      <c r="BO168" s="419">
        <f t="shared" si="187"/>
        <v>0</v>
      </c>
      <c r="BP168" s="419">
        <f t="shared" si="187"/>
        <v>0</v>
      </c>
      <c r="BQ168" s="419">
        <f t="shared" si="187"/>
        <v>0</v>
      </c>
      <c r="BR168" s="419">
        <f t="shared" si="187"/>
        <v>0</v>
      </c>
      <c r="BS168" s="263"/>
    </row>
    <row r="169" spans="1:71" ht="24" customHeight="1" outlineLevel="1" x14ac:dyDescent="0.2">
      <c r="A169" s="312"/>
      <c r="B169" s="546" t="s">
        <v>108</v>
      </c>
      <c r="C169" s="547" t="s">
        <v>161</v>
      </c>
      <c r="D169" s="470" t="s">
        <v>111</v>
      </c>
      <c r="E169" s="456" t="s">
        <v>140</v>
      </c>
      <c r="F169" s="460" t="s">
        <v>49</v>
      </c>
      <c r="G169" s="458" t="s">
        <v>47</v>
      </c>
      <c r="H169" s="599" t="s">
        <v>120</v>
      </c>
      <c r="I169" s="771"/>
      <c r="J169" s="453"/>
      <c r="K169" s="467"/>
      <c r="L169" s="467"/>
      <c r="M169" s="467"/>
      <c r="N169" s="264"/>
      <c r="O169" s="597"/>
      <c r="P169" s="264"/>
      <c r="Q169" s="264"/>
      <c r="R169" s="264"/>
      <c r="S169" s="374">
        <v>0.2</v>
      </c>
      <c r="T169" s="374">
        <v>0.2</v>
      </c>
      <c r="U169" s="374">
        <v>0.2</v>
      </c>
      <c r="V169" s="374">
        <v>0.2</v>
      </c>
      <c r="W169" s="374">
        <v>0.2</v>
      </c>
      <c r="X169" s="374">
        <v>0.2</v>
      </c>
      <c r="Y169" s="374">
        <v>0.2</v>
      </c>
      <c r="Z169" s="374">
        <v>0.2</v>
      </c>
      <c r="AA169" s="374">
        <v>0.2</v>
      </c>
      <c r="AB169" s="264"/>
      <c r="AC169" s="597"/>
      <c r="AD169" s="467"/>
      <c r="AE169" s="264"/>
      <c r="AF169" s="263"/>
      <c r="AG169" s="374">
        <v>0.2</v>
      </c>
      <c r="AH169" s="374">
        <v>0.2</v>
      </c>
      <c r="AI169" s="374">
        <v>0.2</v>
      </c>
      <c r="AJ169" s="374">
        <v>0.2</v>
      </c>
      <c r="AK169" s="374">
        <v>0.2</v>
      </c>
      <c r="AL169" s="374">
        <v>0.2</v>
      </c>
      <c r="AM169" s="374">
        <v>0.2</v>
      </c>
      <c r="AN169" s="374">
        <v>0.2</v>
      </c>
      <c r="AO169" s="374">
        <v>0.2</v>
      </c>
      <c r="AP169" s="264"/>
      <c r="AQ169" s="264"/>
      <c r="AR169" s="597"/>
      <c r="AS169" s="467"/>
      <c r="AT169" s="264"/>
      <c r="AU169" s="263"/>
      <c r="AV169" s="374">
        <v>0.2</v>
      </c>
      <c r="AW169" s="374">
        <v>0.2</v>
      </c>
      <c r="AX169" s="374">
        <v>0.2</v>
      </c>
      <c r="AY169" s="374">
        <v>0.2</v>
      </c>
      <c r="AZ169" s="374">
        <v>0.2</v>
      </c>
      <c r="BA169" s="374">
        <v>0.2</v>
      </c>
      <c r="BB169" s="374">
        <v>0.2</v>
      </c>
      <c r="BC169" s="374">
        <v>0.2</v>
      </c>
      <c r="BD169" s="374">
        <v>0.2</v>
      </c>
      <c r="BE169" s="264"/>
      <c r="BF169" s="597"/>
      <c r="BG169" s="467"/>
      <c r="BH169" s="264"/>
      <c r="BI169" s="263"/>
      <c r="BJ169" s="374">
        <v>0.2</v>
      </c>
      <c r="BK169" s="374">
        <v>0.2</v>
      </c>
      <c r="BL169" s="374">
        <v>0.2</v>
      </c>
      <c r="BM169" s="374">
        <v>0.2</v>
      </c>
      <c r="BN169" s="374">
        <v>0.2</v>
      </c>
      <c r="BO169" s="374">
        <v>0.2</v>
      </c>
      <c r="BP169" s="374">
        <v>0.2</v>
      </c>
      <c r="BQ169" s="374">
        <v>0.2</v>
      </c>
      <c r="BR169" s="374">
        <v>0.2</v>
      </c>
      <c r="BS169" s="263"/>
    </row>
    <row r="170" spans="1:71" ht="24" customHeight="1" outlineLevel="1" x14ac:dyDescent="0.2">
      <c r="A170" s="312"/>
      <c r="B170" s="401" t="s">
        <v>108</v>
      </c>
      <c r="C170" s="157" t="s">
        <v>161</v>
      </c>
      <c r="D170" s="464" t="s">
        <v>111</v>
      </c>
      <c r="E170" s="462" t="s">
        <v>145</v>
      </c>
      <c r="F170" s="463" t="s">
        <v>61</v>
      </c>
      <c r="G170" s="464" t="s">
        <v>50</v>
      </c>
      <c r="H170" s="601" t="s">
        <v>152</v>
      </c>
      <c r="I170" s="772" t="s">
        <v>242</v>
      </c>
      <c r="J170" s="453"/>
      <c r="K170" s="467"/>
      <c r="L170" s="467"/>
      <c r="M170" s="467"/>
      <c r="N170" s="264"/>
      <c r="O170" s="565" t="s">
        <v>226</v>
      </c>
      <c r="P170" s="264"/>
      <c r="Q170" s="374">
        <v>0.2</v>
      </c>
      <c r="R170" s="264"/>
      <c r="S170" s="419">
        <f>(1+Sensitivity_Rec_Consent)*0</f>
        <v>0</v>
      </c>
      <c r="T170" s="419">
        <f>(1+Sensitivity_Rec_Consent)*(FE_Standard_Sys_Effort*(1+PM_Overhead)*$Q170)</f>
        <v>13.200000000000001</v>
      </c>
      <c r="U170" s="419">
        <f t="shared" ref="U170:AA171" si="188">(1+Sensitivity_Rec_Consent)*0</f>
        <v>0</v>
      </c>
      <c r="V170" s="419">
        <f t="shared" si="188"/>
        <v>0</v>
      </c>
      <c r="W170" s="419">
        <f t="shared" si="188"/>
        <v>0</v>
      </c>
      <c r="X170" s="419">
        <f t="shared" si="188"/>
        <v>0</v>
      </c>
      <c r="Y170" s="419">
        <f t="shared" si="188"/>
        <v>0</v>
      </c>
      <c r="Z170" s="419">
        <f t="shared" si="188"/>
        <v>0</v>
      </c>
      <c r="AA170" s="419">
        <f t="shared" si="188"/>
        <v>0</v>
      </c>
      <c r="AB170" s="264"/>
      <c r="AC170" s="565" t="s">
        <v>226</v>
      </c>
      <c r="AD170" s="467"/>
      <c r="AE170" s="374">
        <v>0.2</v>
      </c>
      <c r="AF170" s="263"/>
      <c r="AG170" s="419">
        <f>(1+Sensitivity_Rec_Consent)*0</f>
        <v>0</v>
      </c>
      <c r="AH170" s="419">
        <f>(1+Sensitivity_Rec_Consent)*(FE_Standard_Sys_Effort*(1+PM_Overhead)*$AE170)</f>
        <v>13.200000000000001</v>
      </c>
      <c r="AI170" s="419">
        <f t="shared" ref="AI170:AO171" si="189">(1+Sensitivity_Rec_Consent)*0</f>
        <v>0</v>
      </c>
      <c r="AJ170" s="419">
        <f t="shared" si="189"/>
        <v>0</v>
      </c>
      <c r="AK170" s="419">
        <f t="shared" si="189"/>
        <v>0</v>
      </c>
      <c r="AL170" s="419">
        <f t="shared" si="189"/>
        <v>0</v>
      </c>
      <c r="AM170" s="419">
        <f t="shared" si="189"/>
        <v>0</v>
      </c>
      <c r="AN170" s="419">
        <f t="shared" si="189"/>
        <v>0</v>
      </c>
      <c r="AO170" s="419">
        <f t="shared" si="189"/>
        <v>0</v>
      </c>
      <c r="AP170" s="264"/>
      <c r="AQ170" s="264"/>
      <c r="AR170" s="565" t="s">
        <v>226</v>
      </c>
      <c r="AS170" s="467"/>
      <c r="AT170" s="374">
        <v>0.2</v>
      </c>
      <c r="AU170" s="263"/>
      <c r="AV170" s="419">
        <f>(1+Sensitivity_Rec_Consent)*0</f>
        <v>0</v>
      </c>
      <c r="AW170" s="419">
        <f>(1+Sensitivity_Rec_Consent)*(FE_Standard_Sys_Effort*(1+PM_Overhead)*$AT170)</f>
        <v>13.200000000000001</v>
      </c>
      <c r="AX170" s="419">
        <f t="shared" ref="AX170:BD171" si="190">(1+Sensitivity_Rec_Consent)*0</f>
        <v>0</v>
      </c>
      <c r="AY170" s="419">
        <f t="shared" si="190"/>
        <v>0</v>
      </c>
      <c r="AZ170" s="419">
        <f t="shared" si="190"/>
        <v>0</v>
      </c>
      <c r="BA170" s="419">
        <f t="shared" si="190"/>
        <v>0</v>
      </c>
      <c r="BB170" s="419">
        <f t="shared" si="190"/>
        <v>0</v>
      </c>
      <c r="BC170" s="419">
        <f t="shared" si="190"/>
        <v>0</v>
      </c>
      <c r="BD170" s="419">
        <f t="shared" si="190"/>
        <v>0</v>
      </c>
      <c r="BE170" s="264"/>
      <c r="BF170" s="565" t="s">
        <v>226</v>
      </c>
      <c r="BG170" s="467"/>
      <c r="BH170" s="374">
        <v>0.2</v>
      </c>
      <c r="BI170" s="263"/>
      <c r="BJ170" s="419">
        <f>(1+Sensitivity_Rec_Consent)*0</f>
        <v>0</v>
      </c>
      <c r="BK170" s="419">
        <f>(1+Sensitivity_Rec_Consent)*(FE_Standard_Sys_Effort*(1+PM_Overhead)*$BH170)</f>
        <v>13.200000000000001</v>
      </c>
      <c r="BL170" s="419">
        <f t="shared" ref="BL170:BR171" si="191">(1+Sensitivity_Rec_Consent)*0</f>
        <v>0</v>
      </c>
      <c r="BM170" s="419">
        <f t="shared" si="191"/>
        <v>0</v>
      </c>
      <c r="BN170" s="419">
        <f t="shared" si="191"/>
        <v>0</v>
      </c>
      <c r="BO170" s="419">
        <f t="shared" si="191"/>
        <v>0</v>
      </c>
      <c r="BP170" s="419">
        <f t="shared" si="191"/>
        <v>0</v>
      </c>
      <c r="BQ170" s="419">
        <f t="shared" si="191"/>
        <v>0</v>
      </c>
      <c r="BR170" s="419">
        <f t="shared" si="191"/>
        <v>0</v>
      </c>
      <c r="BS170" s="263"/>
    </row>
    <row r="171" spans="1:71" ht="24" customHeight="1" outlineLevel="1" x14ac:dyDescent="0.2">
      <c r="A171" s="312"/>
      <c r="B171" s="401" t="s">
        <v>108</v>
      </c>
      <c r="C171" s="157" t="s">
        <v>161</v>
      </c>
      <c r="D171" s="464" t="s">
        <v>111</v>
      </c>
      <c r="E171" s="462" t="s">
        <v>145</v>
      </c>
      <c r="F171" s="463" t="s">
        <v>30</v>
      </c>
      <c r="G171" s="468" t="s">
        <v>50</v>
      </c>
      <c r="H171" s="601" t="s">
        <v>119</v>
      </c>
      <c r="I171" s="772"/>
      <c r="J171" s="453"/>
      <c r="K171" s="467"/>
      <c r="L171" s="467"/>
      <c r="M171" s="467"/>
      <c r="N171" s="264"/>
      <c r="O171" s="565" t="s">
        <v>197</v>
      </c>
      <c r="P171" s="264"/>
      <c r="Q171" s="374">
        <v>0.2</v>
      </c>
      <c r="R171" s="264"/>
      <c r="S171" s="419">
        <f>(1+Sensitivity_Rec_Consent)*0</f>
        <v>0</v>
      </c>
      <c r="T171" s="600">
        <f>(1+Sensitivity_Rec_Consent)*hw_record_consent_costs*$Q171</f>
        <v>10000</v>
      </c>
      <c r="U171" s="419">
        <f t="shared" si="188"/>
        <v>0</v>
      </c>
      <c r="V171" s="419">
        <f t="shared" si="188"/>
        <v>0</v>
      </c>
      <c r="W171" s="419">
        <f t="shared" si="188"/>
        <v>0</v>
      </c>
      <c r="X171" s="419">
        <f t="shared" si="188"/>
        <v>0</v>
      </c>
      <c r="Y171" s="419">
        <f t="shared" si="188"/>
        <v>0</v>
      </c>
      <c r="Z171" s="419">
        <f t="shared" si="188"/>
        <v>0</v>
      </c>
      <c r="AA171" s="419">
        <f t="shared" si="188"/>
        <v>0</v>
      </c>
      <c r="AB171" s="264"/>
      <c r="AC171" s="565" t="s">
        <v>197</v>
      </c>
      <c r="AD171" s="467"/>
      <c r="AE171" s="374">
        <v>0.2</v>
      </c>
      <c r="AF171" s="263"/>
      <c r="AG171" s="419">
        <f>(1+Sensitivity_Rec_Consent)*0</f>
        <v>0</v>
      </c>
      <c r="AH171" s="419">
        <f>(1+Sensitivity_Rec_Consent)*hw_record_consent_costs*$AE171</f>
        <v>10000</v>
      </c>
      <c r="AI171" s="419">
        <f t="shared" si="189"/>
        <v>0</v>
      </c>
      <c r="AJ171" s="419">
        <f t="shared" si="189"/>
        <v>0</v>
      </c>
      <c r="AK171" s="419">
        <f t="shared" si="189"/>
        <v>0</v>
      </c>
      <c r="AL171" s="419">
        <f t="shared" si="189"/>
        <v>0</v>
      </c>
      <c r="AM171" s="419">
        <f t="shared" si="189"/>
        <v>0</v>
      </c>
      <c r="AN171" s="419">
        <f t="shared" si="189"/>
        <v>0</v>
      </c>
      <c r="AO171" s="419">
        <f t="shared" si="189"/>
        <v>0</v>
      </c>
      <c r="AP171" s="264"/>
      <c r="AQ171" s="264"/>
      <c r="AR171" s="565" t="s">
        <v>197</v>
      </c>
      <c r="AS171" s="467"/>
      <c r="AT171" s="374">
        <v>0.2</v>
      </c>
      <c r="AU171" s="263"/>
      <c r="AV171" s="419">
        <f>(1+Sensitivity_Rec_Consent)*0</f>
        <v>0</v>
      </c>
      <c r="AW171" s="419">
        <f>(1+Sensitivity_Rec_Consent)*hw_record_consent_costs*$AT171</f>
        <v>10000</v>
      </c>
      <c r="AX171" s="419">
        <f t="shared" si="190"/>
        <v>0</v>
      </c>
      <c r="AY171" s="419">
        <f t="shared" si="190"/>
        <v>0</v>
      </c>
      <c r="AZ171" s="419">
        <f t="shared" si="190"/>
        <v>0</v>
      </c>
      <c r="BA171" s="419">
        <f t="shared" si="190"/>
        <v>0</v>
      </c>
      <c r="BB171" s="419">
        <f t="shared" si="190"/>
        <v>0</v>
      </c>
      <c r="BC171" s="419">
        <f t="shared" si="190"/>
        <v>0</v>
      </c>
      <c r="BD171" s="419">
        <f t="shared" si="190"/>
        <v>0</v>
      </c>
      <c r="BE171" s="264"/>
      <c r="BF171" s="565" t="s">
        <v>197</v>
      </c>
      <c r="BG171" s="467"/>
      <c r="BH171" s="374">
        <v>0.2</v>
      </c>
      <c r="BI171" s="263"/>
      <c r="BJ171" s="419">
        <f>(1+Sensitivity_Rec_Consent)*0</f>
        <v>0</v>
      </c>
      <c r="BK171" s="419">
        <f>(1+Sensitivity_Rec_Consent)*hw_record_consent_costs*$BH171</f>
        <v>10000</v>
      </c>
      <c r="BL171" s="419">
        <f t="shared" si="191"/>
        <v>0</v>
      </c>
      <c r="BM171" s="419">
        <f t="shared" si="191"/>
        <v>0</v>
      </c>
      <c r="BN171" s="419">
        <f t="shared" si="191"/>
        <v>0</v>
      </c>
      <c r="BO171" s="419">
        <f t="shared" si="191"/>
        <v>0</v>
      </c>
      <c r="BP171" s="419">
        <f t="shared" si="191"/>
        <v>0</v>
      </c>
      <c r="BQ171" s="419">
        <f t="shared" si="191"/>
        <v>0</v>
      </c>
      <c r="BR171" s="419">
        <f t="shared" si="191"/>
        <v>0</v>
      </c>
      <c r="BS171" s="263"/>
    </row>
    <row r="172" spans="1:71" ht="24" customHeight="1" outlineLevel="1" x14ac:dyDescent="0.2">
      <c r="A172" s="312"/>
      <c r="B172" s="401" t="s">
        <v>108</v>
      </c>
      <c r="C172" s="157" t="s">
        <v>161</v>
      </c>
      <c r="D172" s="464" t="s">
        <v>111</v>
      </c>
      <c r="E172" s="462" t="s">
        <v>145</v>
      </c>
      <c r="F172" s="469" t="s">
        <v>49</v>
      </c>
      <c r="G172" s="468" t="s">
        <v>47</v>
      </c>
      <c r="H172" s="601" t="s">
        <v>120</v>
      </c>
      <c r="I172" s="772"/>
      <c r="J172" s="453"/>
      <c r="K172" s="467"/>
      <c r="L172" s="467"/>
      <c r="M172" s="467"/>
      <c r="N172" s="264"/>
      <c r="O172" s="565"/>
      <c r="P172" s="264"/>
      <c r="Q172" s="264"/>
      <c r="R172" s="264"/>
      <c r="S172" s="374">
        <v>0.2</v>
      </c>
      <c r="T172" s="374">
        <v>0.2</v>
      </c>
      <c r="U172" s="374">
        <v>0.2</v>
      </c>
      <c r="V172" s="374">
        <v>0.2</v>
      </c>
      <c r="W172" s="374">
        <v>0.2</v>
      </c>
      <c r="X172" s="374">
        <v>0.2</v>
      </c>
      <c r="Y172" s="374">
        <v>0.2</v>
      </c>
      <c r="Z172" s="374">
        <v>0.2</v>
      </c>
      <c r="AA172" s="374">
        <v>0.2</v>
      </c>
      <c r="AB172" s="264"/>
      <c r="AC172" s="565"/>
      <c r="AD172" s="467"/>
      <c r="AE172" s="264"/>
      <c r="AF172" s="263"/>
      <c r="AG172" s="374">
        <v>0.2</v>
      </c>
      <c r="AH172" s="374">
        <v>0.2</v>
      </c>
      <c r="AI172" s="374">
        <v>0.2</v>
      </c>
      <c r="AJ172" s="374">
        <v>0.2</v>
      </c>
      <c r="AK172" s="374">
        <v>0.2</v>
      </c>
      <c r="AL172" s="374">
        <v>0.2</v>
      </c>
      <c r="AM172" s="374">
        <v>0.2</v>
      </c>
      <c r="AN172" s="374">
        <v>0.2</v>
      </c>
      <c r="AO172" s="374">
        <v>0.2</v>
      </c>
      <c r="AP172" s="264"/>
      <c r="AQ172" s="264"/>
      <c r="AR172" s="565"/>
      <c r="AS172" s="467"/>
      <c r="AT172" s="264"/>
      <c r="AU172" s="263"/>
      <c r="AV172" s="374">
        <v>0.2</v>
      </c>
      <c r="AW172" s="374">
        <v>0.2</v>
      </c>
      <c r="AX172" s="374">
        <v>0.2</v>
      </c>
      <c r="AY172" s="374">
        <v>0.2</v>
      </c>
      <c r="AZ172" s="374">
        <v>0.2</v>
      </c>
      <c r="BA172" s="374">
        <v>0.2</v>
      </c>
      <c r="BB172" s="374">
        <v>0.2</v>
      </c>
      <c r="BC172" s="374">
        <v>0.2</v>
      </c>
      <c r="BD172" s="374">
        <v>0.2</v>
      </c>
      <c r="BE172" s="264"/>
      <c r="BF172" s="565"/>
      <c r="BG172" s="467"/>
      <c r="BH172" s="264"/>
      <c r="BI172" s="263"/>
      <c r="BJ172" s="374">
        <v>0.2</v>
      </c>
      <c r="BK172" s="374">
        <v>0.2</v>
      </c>
      <c r="BL172" s="374">
        <v>0.2</v>
      </c>
      <c r="BM172" s="374">
        <v>0.2</v>
      </c>
      <c r="BN172" s="374">
        <v>0.2</v>
      </c>
      <c r="BO172" s="374">
        <v>0.2</v>
      </c>
      <c r="BP172" s="374">
        <v>0.2</v>
      </c>
      <c r="BQ172" s="374">
        <v>0.2</v>
      </c>
      <c r="BR172" s="374">
        <v>0.2</v>
      </c>
      <c r="BS172" s="263"/>
    </row>
    <row r="173" spans="1:71" ht="24" customHeight="1" outlineLevel="1" x14ac:dyDescent="0.2">
      <c r="A173" s="312"/>
      <c r="B173" s="546" t="s">
        <v>108</v>
      </c>
      <c r="C173" s="547" t="s">
        <v>161</v>
      </c>
      <c r="D173" s="470" t="s">
        <v>111</v>
      </c>
      <c r="E173" s="456" t="s">
        <v>121</v>
      </c>
      <c r="F173" s="457" t="s">
        <v>61</v>
      </c>
      <c r="G173" s="470" t="s">
        <v>50</v>
      </c>
      <c r="H173" s="599" t="s">
        <v>152</v>
      </c>
      <c r="I173" s="732" t="s">
        <v>243</v>
      </c>
      <c r="J173" s="453"/>
      <c r="K173" s="467"/>
      <c r="L173" s="467"/>
      <c r="M173" s="467"/>
      <c r="N173" s="264"/>
      <c r="O173" s="529" t="s">
        <v>226</v>
      </c>
      <c r="P173" s="264"/>
      <c r="Q173" s="374">
        <v>0.2</v>
      </c>
      <c r="R173" s="264"/>
      <c r="S173" s="419">
        <f>(1+Sensitivity_Rec_Consent)*0</f>
        <v>0</v>
      </c>
      <c r="T173" s="419">
        <f>(1+Sensitivity_Rec_Consent)*(FE_Standard_Sys_Effort*(1+PM_Overhead)*$Q173)</f>
        <v>13.200000000000001</v>
      </c>
      <c r="U173" s="419">
        <f t="shared" ref="U173:AA174" si="192">(1+Sensitivity_Rec_Consent)*0</f>
        <v>0</v>
      </c>
      <c r="V173" s="419">
        <f t="shared" si="192"/>
        <v>0</v>
      </c>
      <c r="W173" s="419">
        <f t="shared" si="192"/>
        <v>0</v>
      </c>
      <c r="X173" s="419">
        <f t="shared" si="192"/>
        <v>0</v>
      </c>
      <c r="Y173" s="419">
        <f t="shared" si="192"/>
        <v>0</v>
      </c>
      <c r="Z173" s="419">
        <f t="shared" si="192"/>
        <v>0</v>
      </c>
      <c r="AA173" s="419">
        <f t="shared" si="192"/>
        <v>0</v>
      </c>
      <c r="AB173" s="264"/>
      <c r="AC173" s="529" t="s">
        <v>226</v>
      </c>
      <c r="AD173" s="467"/>
      <c r="AE173" s="374">
        <v>0.2</v>
      </c>
      <c r="AF173" s="263"/>
      <c r="AG173" s="419">
        <f>(1+Sensitivity_Rec_Consent)*0</f>
        <v>0</v>
      </c>
      <c r="AH173" s="419">
        <f>(1+Sensitivity_Rec_Consent)*(FE_Standard_Sys_Effort*(1+PM_Overhead)*$AE173)</f>
        <v>13.200000000000001</v>
      </c>
      <c r="AI173" s="419">
        <f t="shared" ref="AI173:AO174" si="193">(1+Sensitivity_Rec_Consent)*0</f>
        <v>0</v>
      </c>
      <c r="AJ173" s="419">
        <f t="shared" si="193"/>
        <v>0</v>
      </c>
      <c r="AK173" s="419">
        <f t="shared" si="193"/>
        <v>0</v>
      </c>
      <c r="AL173" s="419">
        <f t="shared" si="193"/>
        <v>0</v>
      </c>
      <c r="AM173" s="419">
        <f t="shared" si="193"/>
        <v>0</v>
      </c>
      <c r="AN173" s="419">
        <f t="shared" si="193"/>
        <v>0</v>
      </c>
      <c r="AO173" s="419">
        <f t="shared" si="193"/>
        <v>0</v>
      </c>
      <c r="AP173" s="264"/>
      <c r="AQ173" s="264"/>
      <c r="AR173" s="529" t="s">
        <v>226</v>
      </c>
      <c r="AS173" s="467"/>
      <c r="AT173" s="374">
        <v>0.2</v>
      </c>
      <c r="AU173" s="263"/>
      <c r="AV173" s="419">
        <f>(1+Sensitivity_Rec_Consent)*0</f>
        <v>0</v>
      </c>
      <c r="AW173" s="419">
        <f>(1+Sensitivity_Rec_Consent)*(FE_Standard_Sys_Effort*(1+PM_Overhead)*$AT173)</f>
        <v>13.200000000000001</v>
      </c>
      <c r="AX173" s="419">
        <f t="shared" ref="AX173:BD174" si="194">(1+Sensitivity_Rec_Consent)*0</f>
        <v>0</v>
      </c>
      <c r="AY173" s="419">
        <f t="shared" si="194"/>
        <v>0</v>
      </c>
      <c r="AZ173" s="419">
        <f t="shared" si="194"/>
        <v>0</v>
      </c>
      <c r="BA173" s="419">
        <f t="shared" si="194"/>
        <v>0</v>
      </c>
      <c r="BB173" s="419">
        <f t="shared" si="194"/>
        <v>0</v>
      </c>
      <c r="BC173" s="419">
        <f t="shared" si="194"/>
        <v>0</v>
      </c>
      <c r="BD173" s="419">
        <f t="shared" si="194"/>
        <v>0</v>
      </c>
      <c r="BE173" s="264"/>
      <c r="BF173" s="529" t="s">
        <v>226</v>
      </c>
      <c r="BG173" s="467"/>
      <c r="BH173" s="374">
        <v>0.2</v>
      </c>
      <c r="BI173" s="263"/>
      <c r="BJ173" s="419">
        <f>(1+Sensitivity_Rec_Consent)*0</f>
        <v>0</v>
      </c>
      <c r="BK173" s="419">
        <f>(1+Sensitivity_Rec_Consent)*(FE_Standard_Sys_Effort*(1+PM_Overhead)*$BH173)</f>
        <v>13.200000000000001</v>
      </c>
      <c r="BL173" s="419">
        <f t="shared" ref="BL173:BR174" si="195">(1+Sensitivity_Rec_Consent)*0</f>
        <v>0</v>
      </c>
      <c r="BM173" s="419">
        <f t="shared" si="195"/>
        <v>0</v>
      </c>
      <c r="BN173" s="419">
        <f t="shared" si="195"/>
        <v>0</v>
      </c>
      <c r="BO173" s="419">
        <f t="shared" si="195"/>
        <v>0</v>
      </c>
      <c r="BP173" s="419">
        <f t="shared" si="195"/>
        <v>0</v>
      </c>
      <c r="BQ173" s="419">
        <f t="shared" si="195"/>
        <v>0</v>
      </c>
      <c r="BR173" s="419">
        <f t="shared" si="195"/>
        <v>0</v>
      </c>
      <c r="BS173" s="263"/>
    </row>
    <row r="174" spans="1:71" ht="24" customHeight="1" outlineLevel="1" x14ac:dyDescent="0.2">
      <c r="A174" s="312"/>
      <c r="B174" s="546" t="s">
        <v>108</v>
      </c>
      <c r="C174" s="547" t="s">
        <v>161</v>
      </c>
      <c r="D174" s="470" t="s">
        <v>111</v>
      </c>
      <c r="E174" s="456" t="s">
        <v>121</v>
      </c>
      <c r="F174" s="457" t="s">
        <v>30</v>
      </c>
      <c r="G174" s="458" t="s">
        <v>50</v>
      </c>
      <c r="H174" s="599" t="s">
        <v>119</v>
      </c>
      <c r="I174" s="732"/>
      <c r="J174" s="453"/>
      <c r="K174" s="467"/>
      <c r="L174" s="467"/>
      <c r="M174" s="467"/>
      <c r="N174" s="264"/>
      <c r="O174" s="529" t="s">
        <v>197</v>
      </c>
      <c r="P174" s="264"/>
      <c r="Q174" s="374">
        <v>0.2</v>
      </c>
      <c r="R174" s="264"/>
      <c r="S174" s="419">
        <f>(1+Sensitivity_Rec_Consent)*0</f>
        <v>0</v>
      </c>
      <c r="T174" s="600">
        <f>(1+Sensitivity_Rec_Consent)*hw_record_consent_costs*$Q174</f>
        <v>10000</v>
      </c>
      <c r="U174" s="419">
        <f t="shared" si="192"/>
        <v>0</v>
      </c>
      <c r="V174" s="419">
        <f t="shared" si="192"/>
        <v>0</v>
      </c>
      <c r="W174" s="419">
        <f t="shared" si="192"/>
        <v>0</v>
      </c>
      <c r="X174" s="419">
        <f t="shared" si="192"/>
        <v>0</v>
      </c>
      <c r="Y174" s="419">
        <f t="shared" si="192"/>
        <v>0</v>
      </c>
      <c r="Z174" s="419">
        <f t="shared" si="192"/>
        <v>0</v>
      </c>
      <c r="AA174" s="419">
        <f t="shared" si="192"/>
        <v>0</v>
      </c>
      <c r="AB174" s="264"/>
      <c r="AC174" s="529" t="s">
        <v>197</v>
      </c>
      <c r="AD174" s="467"/>
      <c r="AE174" s="374">
        <v>0.2</v>
      </c>
      <c r="AF174" s="263"/>
      <c r="AG174" s="419">
        <f>(1+Sensitivity_Rec_Consent)*0</f>
        <v>0</v>
      </c>
      <c r="AH174" s="419">
        <f>(1+Sensitivity_Rec_Consent)*hw_record_consent_costs*$AE174</f>
        <v>10000</v>
      </c>
      <c r="AI174" s="419">
        <f t="shared" si="193"/>
        <v>0</v>
      </c>
      <c r="AJ174" s="419">
        <f t="shared" si="193"/>
        <v>0</v>
      </c>
      <c r="AK174" s="419">
        <f t="shared" si="193"/>
        <v>0</v>
      </c>
      <c r="AL174" s="419">
        <f t="shared" si="193"/>
        <v>0</v>
      </c>
      <c r="AM174" s="419">
        <f t="shared" si="193"/>
        <v>0</v>
      </c>
      <c r="AN174" s="419">
        <f t="shared" si="193"/>
        <v>0</v>
      </c>
      <c r="AO174" s="419">
        <f t="shared" si="193"/>
        <v>0</v>
      </c>
      <c r="AP174" s="264"/>
      <c r="AQ174" s="264"/>
      <c r="AR174" s="529" t="s">
        <v>197</v>
      </c>
      <c r="AS174" s="467"/>
      <c r="AT174" s="374">
        <v>0.2</v>
      </c>
      <c r="AU174" s="263"/>
      <c r="AV174" s="419">
        <f>(1+Sensitivity_Rec_Consent)*0</f>
        <v>0</v>
      </c>
      <c r="AW174" s="419">
        <f>(1+Sensitivity_Rec_Consent)*hw_record_consent_costs*$AT174</f>
        <v>10000</v>
      </c>
      <c r="AX174" s="419">
        <f t="shared" si="194"/>
        <v>0</v>
      </c>
      <c r="AY174" s="419">
        <f t="shared" si="194"/>
        <v>0</v>
      </c>
      <c r="AZ174" s="419">
        <f t="shared" si="194"/>
        <v>0</v>
      </c>
      <c r="BA174" s="419">
        <f t="shared" si="194"/>
        <v>0</v>
      </c>
      <c r="BB174" s="419">
        <f t="shared" si="194"/>
        <v>0</v>
      </c>
      <c r="BC174" s="419">
        <f t="shared" si="194"/>
        <v>0</v>
      </c>
      <c r="BD174" s="419">
        <f t="shared" si="194"/>
        <v>0</v>
      </c>
      <c r="BE174" s="264"/>
      <c r="BF174" s="529" t="s">
        <v>197</v>
      </c>
      <c r="BG174" s="467"/>
      <c r="BH174" s="374">
        <v>0.2</v>
      </c>
      <c r="BI174" s="263"/>
      <c r="BJ174" s="419">
        <f>(1+Sensitivity_Rec_Consent)*0</f>
        <v>0</v>
      </c>
      <c r="BK174" s="419">
        <f>(1+Sensitivity_Rec_Consent)*hw_record_consent_costs*$BH174</f>
        <v>10000</v>
      </c>
      <c r="BL174" s="419">
        <f t="shared" si="195"/>
        <v>0</v>
      </c>
      <c r="BM174" s="419">
        <f t="shared" si="195"/>
        <v>0</v>
      </c>
      <c r="BN174" s="419">
        <f t="shared" si="195"/>
        <v>0</v>
      </c>
      <c r="BO174" s="419">
        <f t="shared" si="195"/>
        <v>0</v>
      </c>
      <c r="BP174" s="419">
        <f t="shared" si="195"/>
        <v>0</v>
      </c>
      <c r="BQ174" s="419">
        <f t="shared" si="195"/>
        <v>0</v>
      </c>
      <c r="BR174" s="419">
        <f t="shared" si="195"/>
        <v>0</v>
      </c>
      <c r="BS174" s="263"/>
    </row>
    <row r="175" spans="1:71" ht="24" customHeight="1" outlineLevel="1" x14ac:dyDescent="0.2">
      <c r="A175" s="312"/>
      <c r="B175" s="546" t="s">
        <v>108</v>
      </c>
      <c r="C175" s="547" t="s">
        <v>161</v>
      </c>
      <c r="D175" s="470" t="s">
        <v>111</v>
      </c>
      <c r="E175" s="456" t="s">
        <v>121</v>
      </c>
      <c r="F175" s="460" t="s">
        <v>49</v>
      </c>
      <c r="G175" s="458" t="s">
        <v>47</v>
      </c>
      <c r="H175" s="599" t="s">
        <v>120</v>
      </c>
      <c r="I175" s="732"/>
      <c r="J175" s="453"/>
      <c r="K175" s="467"/>
      <c r="L175" s="467"/>
      <c r="M175" s="467"/>
      <c r="N175" s="264"/>
      <c r="O175" s="529"/>
      <c r="P175" s="264"/>
      <c r="Q175" s="264"/>
      <c r="R175" s="264"/>
      <c r="S175" s="374">
        <v>0.2</v>
      </c>
      <c r="T175" s="374">
        <v>0.2</v>
      </c>
      <c r="U175" s="374">
        <v>0.2</v>
      </c>
      <c r="V175" s="374">
        <v>0.2</v>
      </c>
      <c r="W175" s="374">
        <v>0.2</v>
      </c>
      <c r="X175" s="374">
        <v>0.2</v>
      </c>
      <c r="Y175" s="374">
        <v>0.2</v>
      </c>
      <c r="Z175" s="374">
        <v>0.2</v>
      </c>
      <c r="AA175" s="374">
        <v>0.2</v>
      </c>
      <c r="AB175" s="264"/>
      <c r="AC175" s="529"/>
      <c r="AD175" s="467"/>
      <c r="AE175" s="264"/>
      <c r="AF175" s="263"/>
      <c r="AG175" s="374">
        <v>0.2</v>
      </c>
      <c r="AH175" s="374">
        <v>0.2</v>
      </c>
      <c r="AI175" s="374">
        <v>0.2</v>
      </c>
      <c r="AJ175" s="374">
        <v>0.2</v>
      </c>
      <c r="AK175" s="374">
        <v>0.2</v>
      </c>
      <c r="AL175" s="374">
        <v>0.2</v>
      </c>
      <c r="AM175" s="374">
        <v>0.2</v>
      </c>
      <c r="AN175" s="374">
        <v>0.2</v>
      </c>
      <c r="AO175" s="374">
        <v>0.2</v>
      </c>
      <c r="AP175" s="264"/>
      <c r="AQ175" s="264"/>
      <c r="AR175" s="529"/>
      <c r="AS175" s="467"/>
      <c r="AT175" s="264"/>
      <c r="AU175" s="263"/>
      <c r="AV175" s="374">
        <v>0.2</v>
      </c>
      <c r="AW175" s="374">
        <v>0.2</v>
      </c>
      <c r="AX175" s="374">
        <v>0.2</v>
      </c>
      <c r="AY175" s="374">
        <v>0.2</v>
      </c>
      <c r="AZ175" s="374">
        <v>0.2</v>
      </c>
      <c r="BA175" s="374">
        <v>0.2</v>
      </c>
      <c r="BB175" s="374">
        <v>0.2</v>
      </c>
      <c r="BC175" s="374">
        <v>0.2</v>
      </c>
      <c r="BD175" s="374">
        <v>0.2</v>
      </c>
      <c r="BE175" s="264"/>
      <c r="BF175" s="529"/>
      <c r="BG175" s="467"/>
      <c r="BH175" s="264"/>
      <c r="BI175" s="263"/>
      <c r="BJ175" s="374">
        <v>0.2</v>
      </c>
      <c r="BK175" s="374">
        <v>0.2</v>
      </c>
      <c r="BL175" s="374">
        <v>0.2</v>
      </c>
      <c r="BM175" s="374">
        <v>0.2</v>
      </c>
      <c r="BN175" s="374">
        <v>0.2</v>
      </c>
      <c r="BO175" s="374">
        <v>0.2</v>
      </c>
      <c r="BP175" s="374">
        <v>0.2</v>
      </c>
      <c r="BQ175" s="374">
        <v>0.2</v>
      </c>
      <c r="BR175" s="374">
        <v>0.2</v>
      </c>
      <c r="BS175" s="263"/>
    </row>
    <row r="176" spans="1:71" ht="24" customHeight="1" outlineLevel="1" x14ac:dyDescent="0.2">
      <c r="A176" s="312"/>
      <c r="B176" s="401" t="s">
        <v>108</v>
      </c>
      <c r="C176" s="157" t="s">
        <v>161</v>
      </c>
      <c r="D176" s="464" t="s">
        <v>111</v>
      </c>
      <c r="E176" s="462" t="s">
        <v>146</v>
      </c>
      <c r="F176" s="463" t="s">
        <v>61</v>
      </c>
      <c r="G176" s="464" t="s">
        <v>50</v>
      </c>
      <c r="H176" s="601" t="s">
        <v>152</v>
      </c>
      <c r="I176" s="733" t="s">
        <v>244</v>
      </c>
      <c r="J176" s="453"/>
      <c r="K176" s="467"/>
      <c r="L176" s="467"/>
      <c r="M176" s="467"/>
      <c r="N176" s="264"/>
      <c r="O176" s="565" t="s">
        <v>226</v>
      </c>
      <c r="P176" s="264"/>
      <c r="Q176" s="374">
        <v>0.2</v>
      </c>
      <c r="R176" s="264"/>
      <c r="S176" s="419">
        <f>(1+Sensitivity_Rec_Consent)*0</f>
        <v>0</v>
      </c>
      <c r="T176" s="419">
        <f>(1+Sensitivity_Rec_Consent)*(FE_Standard_Sys_Effort*(1+PM_Overhead)*$Q176)</f>
        <v>13.200000000000001</v>
      </c>
      <c r="U176" s="419">
        <f t="shared" ref="U176:AA177" si="196">(1+Sensitivity_Rec_Consent)*0</f>
        <v>0</v>
      </c>
      <c r="V176" s="419">
        <f t="shared" si="196"/>
        <v>0</v>
      </c>
      <c r="W176" s="419">
        <f t="shared" si="196"/>
        <v>0</v>
      </c>
      <c r="X176" s="419">
        <f t="shared" si="196"/>
        <v>0</v>
      </c>
      <c r="Y176" s="419">
        <f t="shared" si="196"/>
        <v>0</v>
      </c>
      <c r="Z176" s="419">
        <f t="shared" si="196"/>
        <v>0</v>
      </c>
      <c r="AA176" s="419">
        <f t="shared" si="196"/>
        <v>0</v>
      </c>
      <c r="AB176" s="264"/>
      <c r="AC176" s="565" t="s">
        <v>226</v>
      </c>
      <c r="AD176" s="467"/>
      <c r="AE176" s="374">
        <v>0.2</v>
      </c>
      <c r="AF176" s="263"/>
      <c r="AG176" s="419">
        <f>(1+Sensitivity_Rec_Consent)*0</f>
        <v>0</v>
      </c>
      <c r="AH176" s="419">
        <f>(1+Sensitivity_Rec_Consent)*(FE_Standard_Sys_Effort*(1+PM_Overhead)*$AE176)</f>
        <v>13.200000000000001</v>
      </c>
      <c r="AI176" s="419">
        <f t="shared" ref="AI176:AO177" si="197">(1+Sensitivity_Rec_Consent)*0</f>
        <v>0</v>
      </c>
      <c r="AJ176" s="419">
        <f t="shared" si="197"/>
        <v>0</v>
      </c>
      <c r="AK176" s="419">
        <f t="shared" si="197"/>
        <v>0</v>
      </c>
      <c r="AL176" s="419">
        <f t="shared" si="197"/>
        <v>0</v>
      </c>
      <c r="AM176" s="419">
        <f t="shared" si="197"/>
        <v>0</v>
      </c>
      <c r="AN176" s="419">
        <f t="shared" si="197"/>
        <v>0</v>
      </c>
      <c r="AO176" s="419">
        <f t="shared" si="197"/>
        <v>0</v>
      </c>
      <c r="AP176" s="264"/>
      <c r="AQ176" s="264"/>
      <c r="AR176" s="565" t="s">
        <v>226</v>
      </c>
      <c r="AS176" s="467"/>
      <c r="AT176" s="374">
        <v>0.2</v>
      </c>
      <c r="AU176" s="263"/>
      <c r="AV176" s="419">
        <f>(1+Sensitivity_Rec_Consent)*0</f>
        <v>0</v>
      </c>
      <c r="AW176" s="419">
        <f>(1+Sensitivity_Rec_Consent)*(FE_Standard_Sys_Effort*(1+PM_Overhead)*$AT176)</f>
        <v>13.200000000000001</v>
      </c>
      <c r="AX176" s="419">
        <f t="shared" ref="AX176:BD177" si="198">(1+Sensitivity_Rec_Consent)*0</f>
        <v>0</v>
      </c>
      <c r="AY176" s="419">
        <f t="shared" si="198"/>
        <v>0</v>
      </c>
      <c r="AZ176" s="419">
        <f t="shared" si="198"/>
        <v>0</v>
      </c>
      <c r="BA176" s="419">
        <f t="shared" si="198"/>
        <v>0</v>
      </c>
      <c r="BB176" s="419">
        <f t="shared" si="198"/>
        <v>0</v>
      </c>
      <c r="BC176" s="419">
        <f t="shared" si="198"/>
        <v>0</v>
      </c>
      <c r="BD176" s="419">
        <f t="shared" si="198"/>
        <v>0</v>
      </c>
      <c r="BE176" s="264"/>
      <c r="BF176" s="565" t="s">
        <v>226</v>
      </c>
      <c r="BG176" s="467"/>
      <c r="BH176" s="374">
        <v>0.2</v>
      </c>
      <c r="BI176" s="263"/>
      <c r="BJ176" s="419">
        <f>(1+Sensitivity_Rec_Consent)*0</f>
        <v>0</v>
      </c>
      <c r="BK176" s="419">
        <f>(1+Sensitivity_Rec_Consent)*(FE_Standard_Sys_Effort*(1+PM_Overhead)*$BH176)</f>
        <v>13.200000000000001</v>
      </c>
      <c r="BL176" s="419">
        <f t="shared" ref="BL176:BR177" si="199">(1+Sensitivity_Rec_Consent)*0</f>
        <v>0</v>
      </c>
      <c r="BM176" s="419">
        <f t="shared" si="199"/>
        <v>0</v>
      </c>
      <c r="BN176" s="419">
        <f t="shared" si="199"/>
        <v>0</v>
      </c>
      <c r="BO176" s="419">
        <f t="shared" si="199"/>
        <v>0</v>
      </c>
      <c r="BP176" s="419">
        <f t="shared" si="199"/>
        <v>0</v>
      </c>
      <c r="BQ176" s="419">
        <f t="shared" si="199"/>
        <v>0</v>
      </c>
      <c r="BR176" s="419">
        <f t="shared" si="199"/>
        <v>0</v>
      </c>
      <c r="BS176" s="263"/>
    </row>
    <row r="177" spans="1:71" ht="24" customHeight="1" outlineLevel="1" x14ac:dyDescent="0.2">
      <c r="A177" s="312"/>
      <c r="B177" s="401" t="s">
        <v>108</v>
      </c>
      <c r="C177" s="157" t="s">
        <v>161</v>
      </c>
      <c r="D177" s="464" t="s">
        <v>111</v>
      </c>
      <c r="E177" s="462" t="s">
        <v>146</v>
      </c>
      <c r="F177" s="463" t="s">
        <v>30</v>
      </c>
      <c r="G177" s="468" t="s">
        <v>50</v>
      </c>
      <c r="H177" s="601" t="s">
        <v>119</v>
      </c>
      <c r="I177" s="733"/>
      <c r="J177" s="453"/>
      <c r="K177" s="467"/>
      <c r="L177" s="467"/>
      <c r="M177" s="467"/>
      <c r="N177" s="264"/>
      <c r="O177" s="565" t="s">
        <v>197</v>
      </c>
      <c r="P177" s="264"/>
      <c r="Q177" s="374">
        <v>0.2</v>
      </c>
      <c r="R177" s="264"/>
      <c r="S177" s="419">
        <f>(1+Sensitivity_Rec_Consent)*0</f>
        <v>0</v>
      </c>
      <c r="T177" s="600">
        <f>(1+Sensitivity_Rec_Consent)*hw_record_consent_costs*$Q177</f>
        <v>10000</v>
      </c>
      <c r="U177" s="419">
        <f t="shared" si="196"/>
        <v>0</v>
      </c>
      <c r="V177" s="419">
        <f t="shared" si="196"/>
        <v>0</v>
      </c>
      <c r="W177" s="419">
        <f t="shared" si="196"/>
        <v>0</v>
      </c>
      <c r="X177" s="419">
        <f t="shared" si="196"/>
        <v>0</v>
      </c>
      <c r="Y177" s="419">
        <f t="shared" si="196"/>
        <v>0</v>
      </c>
      <c r="Z177" s="419">
        <f t="shared" si="196"/>
        <v>0</v>
      </c>
      <c r="AA177" s="419">
        <f t="shared" si="196"/>
        <v>0</v>
      </c>
      <c r="AB177" s="264"/>
      <c r="AC177" s="565" t="s">
        <v>197</v>
      </c>
      <c r="AD177" s="467"/>
      <c r="AE177" s="374">
        <v>0.2</v>
      </c>
      <c r="AF177" s="263"/>
      <c r="AG177" s="419">
        <f>(1+Sensitivity_Rec_Consent)*0</f>
        <v>0</v>
      </c>
      <c r="AH177" s="419">
        <f>(1+Sensitivity_Rec_Consent)*hw_record_consent_costs*$AE177</f>
        <v>10000</v>
      </c>
      <c r="AI177" s="419">
        <f t="shared" si="197"/>
        <v>0</v>
      </c>
      <c r="AJ177" s="419">
        <f t="shared" si="197"/>
        <v>0</v>
      </c>
      <c r="AK177" s="419">
        <f t="shared" si="197"/>
        <v>0</v>
      </c>
      <c r="AL177" s="419">
        <f t="shared" si="197"/>
        <v>0</v>
      </c>
      <c r="AM177" s="419">
        <f t="shared" si="197"/>
        <v>0</v>
      </c>
      <c r="AN177" s="419">
        <f t="shared" si="197"/>
        <v>0</v>
      </c>
      <c r="AO177" s="419">
        <f t="shared" si="197"/>
        <v>0</v>
      </c>
      <c r="AP177" s="264"/>
      <c r="AQ177" s="264"/>
      <c r="AR177" s="565" t="s">
        <v>197</v>
      </c>
      <c r="AS177" s="467"/>
      <c r="AT177" s="374">
        <v>0.2</v>
      </c>
      <c r="AU177" s="263"/>
      <c r="AV177" s="419">
        <f>(1+Sensitivity_Rec_Consent)*0</f>
        <v>0</v>
      </c>
      <c r="AW177" s="419">
        <f>(1+Sensitivity_Rec_Consent)*hw_record_consent_costs*$AT177</f>
        <v>10000</v>
      </c>
      <c r="AX177" s="419">
        <f t="shared" si="198"/>
        <v>0</v>
      </c>
      <c r="AY177" s="419">
        <f t="shared" si="198"/>
        <v>0</v>
      </c>
      <c r="AZ177" s="419">
        <f t="shared" si="198"/>
        <v>0</v>
      </c>
      <c r="BA177" s="419">
        <f t="shared" si="198"/>
        <v>0</v>
      </c>
      <c r="BB177" s="419">
        <f t="shared" si="198"/>
        <v>0</v>
      </c>
      <c r="BC177" s="419">
        <f t="shared" si="198"/>
        <v>0</v>
      </c>
      <c r="BD177" s="419">
        <f t="shared" si="198"/>
        <v>0</v>
      </c>
      <c r="BE177" s="264"/>
      <c r="BF177" s="565" t="s">
        <v>197</v>
      </c>
      <c r="BG177" s="467"/>
      <c r="BH177" s="374">
        <v>0.2</v>
      </c>
      <c r="BI177" s="263"/>
      <c r="BJ177" s="419">
        <f>(1+Sensitivity_Rec_Consent)*0</f>
        <v>0</v>
      </c>
      <c r="BK177" s="419">
        <f>(1+Sensitivity_Rec_Consent)*hw_record_consent_costs*$BH177</f>
        <v>10000</v>
      </c>
      <c r="BL177" s="419">
        <f t="shared" si="199"/>
        <v>0</v>
      </c>
      <c r="BM177" s="419">
        <f t="shared" si="199"/>
        <v>0</v>
      </c>
      <c r="BN177" s="419">
        <f t="shared" si="199"/>
        <v>0</v>
      </c>
      <c r="BO177" s="419">
        <f t="shared" si="199"/>
        <v>0</v>
      </c>
      <c r="BP177" s="419">
        <f t="shared" si="199"/>
        <v>0</v>
      </c>
      <c r="BQ177" s="419">
        <f t="shared" si="199"/>
        <v>0</v>
      </c>
      <c r="BR177" s="419">
        <f t="shared" si="199"/>
        <v>0</v>
      </c>
      <c r="BS177" s="263"/>
    </row>
    <row r="178" spans="1:71" ht="24" customHeight="1" outlineLevel="1" x14ac:dyDescent="0.2">
      <c r="A178" s="312"/>
      <c r="B178" s="401" t="s">
        <v>108</v>
      </c>
      <c r="C178" s="157" t="s">
        <v>161</v>
      </c>
      <c r="D178" s="464" t="s">
        <v>111</v>
      </c>
      <c r="E178" s="462" t="s">
        <v>146</v>
      </c>
      <c r="F178" s="469" t="s">
        <v>49</v>
      </c>
      <c r="G178" s="468" t="s">
        <v>47</v>
      </c>
      <c r="H178" s="601" t="s">
        <v>120</v>
      </c>
      <c r="I178" s="733"/>
      <c r="J178" s="453"/>
      <c r="K178" s="467"/>
      <c r="L178" s="467"/>
      <c r="M178" s="467"/>
      <c r="N178" s="264"/>
      <c r="O178" s="565"/>
      <c r="P178" s="264"/>
      <c r="Q178" s="264"/>
      <c r="R178" s="264"/>
      <c r="S178" s="374">
        <v>0.2</v>
      </c>
      <c r="T178" s="374">
        <v>0.2</v>
      </c>
      <c r="U178" s="374">
        <v>0.2</v>
      </c>
      <c r="V178" s="374">
        <v>0.2</v>
      </c>
      <c r="W178" s="374">
        <v>0.2</v>
      </c>
      <c r="X178" s="374">
        <v>0.2</v>
      </c>
      <c r="Y178" s="374">
        <v>0.2</v>
      </c>
      <c r="Z178" s="374">
        <v>0.2</v>
      </c>
      <c r="AA178" s="374">
        <v>0.2</v>
      </c>
      <c r="AB178" s="264"/>
      <c r="AC178" s="565"/>
      <c r="AD178" s="467"/>
      <c r="AE178" s="264"/>
      <c r="AF178" s="263"/>
      <c r="AG178" s="374">
        <v>0.2</v>
      </c>
      <c r="AH178" s="374">
        <v>0.2</v>
      </c>
      <c r="AI178" s="374">
        <v>0.2</v>
      </c>
      <c r="AJ178" s="374">
        <v>0.2</v>
      </c>
      <c r="AK178" s="374">
        <v>0.2</v>
      </c>
      <c r="AL178" s="374">
        <v>0.2</v>
      </c>
      <c r="AM178" s="374">
        <v>0.2</v>
      </c>
      <c r="AN178" s="374">
        <v>0.2</v>
      </c>
      <c r="AO178" s="374">
        <v>0.2</v>
      </c>
      <c r="AP178" s="264"/>
      <c r="AQ178" s="264"/>
      <c r="AR178" s="565"/>
      <c r="AS178" s="467"/>
      <c r="AT178" s="264"/>
      <c r="AU178" s="263"/>
      <c r="AV178" s="374">
        <v>0.2</v>
      </c>
      <c r="AW178" s="374">
        <v>0.2</v>
      </c>
      <c r="AX178" s="374">
        <v>0.2</v>
      </c>
      <c r="AY178" s="374">
        <v>0.2</v>
      </c>
      <c r="AZ178" s="374">
        <v>0.2</v>
      </c>
      <c r="BA178" s="374">
        <v>0.2</v>
      </c>
      <c r="BB178" s="374">
        <v>0.2</v>
      </c>
      <c r="BC178" s="374">
        <v>0.2</v>
      </c>
      <c r="BD178" s="374">
        <v>0.2</v>
      </c>
      <c r="BE178" s="264"/>
      <c r="BF178" s="565"/>
      <c r="BG178" s="467"/>
      <c r="BH178" s="264"/>
      <c r="BI178" s="263"/>
      <c r="BJ178" s="374">
        <v>0.2</v>
      </c>
      <c r="BK178" s="374">
        <v>0.2</v>
      </c>
      <c r="BL178" s="374">
        <v>0.2</v>
      </c>
      <c r="BM178" s="374">
        <v>0.2</v>
      </c>
      <c r="BN178" s="374">
        <v>0.2</v>
      </c>
      <c r="BO178" s="374">
        <v>0.2</v>
      </c>
      <c r="BP178" s="374">
        <v>0.2</v>
      </c>
      <c r="BQ178" s="374">
        <v>0.2</v>
      </c>
      <c r="BR178" s="374">
        <v>0.2</v>
      </c>
      <c r="BS178" s="263"/>
    </row>
    <row r="179" spans="1:71" ht="24" customHeight="1" outlineLevel="1" x14ac:dyDescent="0.2">
      <c r="A179" s="312"/>
      <c r="B179" s="546" t="s">
        <v>108</v>
      </c>
      <c r="C179" s="547" t="s">
        <v>161</v>
      </c>
      <c r="D179" s="470" t="s">
        <v>111</v>
      </c>
      <c r="E179" s="456" t="s">
        <v>141</v>
      </c>
      <c r="F179" s="457" t="s">
        <v>61</v>
      </c>
      <c r="G179" s="470" t="s">
        <v>50</v>
      </c>
      <c r="H179" s="599" t="s">
        <v>152</v>
      </c>
      <c r="I179" s="732" t="s">
        <v>245</v>
      </c>
      <c r="J179" s="453"/>
      <c r="K179" s="467"/>
      <c r="L179" s="467"/>
      <c r="M179" s="467"/>
      <c r="N179" s="264"/>
      <c r="O179" s="529" t="s">
        <v>226</v>
      </c>
      <c r="P179" s="264"/>
      <c r="Q179" s="374">
        <v>0.2</v>
      </c>
      <c r="R179" s="264"/>
      <c r="S179" s="419">
        <f>(1+Sensitivity_Rec_Consent)*0</f>
        <v>0</v>
      </c>
      <c r="T179" s="419">
        <f>(1+Sensitivity_Rec_Consent)*(FE_Standard_Sys_Effort*(1+PM_Overhead)*$Q179)</f>
        <v>13.200000000000001</v>
      </c>
      <c r="U179" s="419">
        <f t="shared" ref="U179:AA180" si="200">(1+Sensitivity_Rec_Consent)*0</f>
        <v>0</v>
      </c>
      <c r="V179" s="419">
        <f t="shared" si="200"/>
        <v>0</v>
      </c>
      <c r="W179" s="419">
        <f t="shared" si="200"/>
        <v>0</v>
      </c>
      <c r="X179" s="419">
        <f t="shared" si="200"/>
        <v>0</v>
      </c>
      <c r="Y179" s="419">
        <f t="shared" si="200"/>
        <v>0</v>
      </c>
      <c r="Z179" s="419">
        <f t="shared" si="200"/>
        <v>0</v>
      </c>
      <c r="AA179" s="419">
        <f t="shared" si="200"/>
        <v>0</v>
      </c>
      <c r="AB179" s="264"/>
      <c r="AC179" s="529" t="s">
        <v>226</v>
      </c>
      <c r="AD179" s="467"/>
      <c r="AE179" s="374">
        <v>0.2</v>
      </c>
      <c r="AF179" s="263"/>
      <c r="AG179" s="419">
        <f>(1+Sensitivity_Rec_Consent)*0</f>
        <v>0</v>
      </c>
      <c r="AH179" s="419">
        <f>(1+Sensitivity_Rec_Consent)*(FE_Standard_Sys_Effort*(1+PM_Overhead)*$AE179)</f>
        <v>13.200000000000001</v>
      </c>
      <c r="AI179" s="419">
        <f t="shared" ref="AI179:AO180" si="201">(1+Sensitivity_Rec_Consent)*0</f>
        <v>0</v>
      </c>
      <c r="AJ179" s="419">
        <f t="shared" si="201"/>
        <v>0</v>
      </c>
      <c r="AK179" s="419">
        <f t="shared" si="201"/>
        <v>0</v>
      </c>
      <c r="AL179" s="419">
        <f t="shared" si="201"/>
        <v>0</v>
      </c>
      <c r="AM179" s="419">
        <f t="shared" si="201"/>
        <v>0</v>
      </c>
      <c r="AN179" s="419">
        <f t="shared" si="201"/>
        <v>0</v>
      </c>
      <c r="AO179" s="419">
        <f t="shared" si="201"/>
        <v>0</v>
      </c>
      <c r="AP179" s="264"/>
      <c r="AQ179" s="264"/>
      <c r="AR179" s="529" t="s">
        <v>226</v>
      </c>
      <c r="AS179" s="467"/>
      <c r="AT179" s="374">
        <v>0.2</v>
      </c>
      <c r="AU179" s="263"/>
      <c r="AV179" s="419">
        <f>(1+Sensitivity_Rec_Consent)*0</f>
        <v>0</v>
      </c>
      <c r="AW179" s="419">
        <f>(1+Sensitivity_Rec_Consent)*(FE_Standard_Sys_Effort*(1+PM_Overhead)*$AT179)</f>
        <v>13.200000000000001</v>
      </c>
      <c r="AX179" s="419">
        <f t="shared" ref="AX179:BD180" si="202">(1+Sensitivity_Rec_Consent)*0</f>
        <v>0</v>
      </c>
      <c r="AY179" s="419">
        <f t="shared" si="202"/>
        <v>0</v>
      </c>
      <c r="AZ179" s="419">
        <f t="shared" si="202"/>
        <v>0</v>
      </c>
      <c r="BA179" s="419">
        <f t="shared" si="202"/>
        <v>0</v>
      </c>
      <c r="BB179" s="419">
        <f t="shared" si="202"/>
        <v>0</v>
      </c>
      <c r="BC179" s="419">
        <f t="shared" si="202"/>
        <v>0</v>
      </c>
      <c r="BD179" s="419">
        <f t="shared" si="202"/>
        <v>0</v>
      </c>
      <c r="BE179" s="264"/>
      <c r="BF179" s="529" t="s">
        <v>226</v>
      </c>
      <c r="BG179" s="467"/>
      <c r="BH179" s="374">
        <v>0.2</v>
      </c>
      <c r="BI179" s="263"/>
      <c r="BJ179" s="419">
        <f>(1+Sensitivity_Rec_Consent)*0</f>
        <v>0</v>
      </c>
      <c r="BK179" s="419">
        <f>(1+Sensitivity_Rec_Consent)*(FE_Standard_Sys_Effort*(1+PM_Overhead)*$BH179)</f>
        <v>13.200000000000001</v>
      </c>
      <c r="BL179" s="419">
        <f t="shared" ref="BL179:BR180" si="203">(1+Sensitivity_Rec_Consent)*0</f>
        <v>0</v>
      </c>
      <c r="BM179" s="419">
        <f t="shared" si="203"/>
        <v>0</v>
      </c>
      <c r="BN179" s="419">
        <f t="shared" si="203"/>
        <v>0</v>
      </c>
      <c r="BO179" s="419">
        <f t="shared" si="203"/>
        <v>0</v>
      </c>
      <c r="BP179" s="419">
        <f t="shared" si="203"/>
        <v>0</v>
      </c>
      <c r="BQ179" s="419">
        <f t="shared" si="203"/>
        <v>0</v>
      </c>
      <c r="BR179" s="419">
        <f t="shared" si="203"/>
        <v>0</v>
      </c>
      <c r="BS179" s="263"/>
    </row>
    <row r="180" spans="1:71" ht="24" customHeight="1" outlineLevel="1" x14ac:dyDescent="0.2">
      <c r="A180" s="312"/>
      <c r="B180" s="546" t="s">
        <v>108</v>
      </c>
      <c r="C180" s="547" t="s">
        <v>161</v>
      </c>
      <c r="D180" s="470" t="s">
        <v>111</v>
      </c>
      <c r="E180" s="456" t="s">
        <v>141</v>
      </c>
      <c r="F180" s="457" t="s">
        <v>30</v>
      </c>
      <c r="G180" s="458" t="s">
        <v>50</v>
      </c>
      <c r="H180" s="599" t="s">
        <v>119</v>
      </c>
      <c r="I180" s="732"/>
      <c r="J180" s="453"/>
      <c r="K180" s="467"/>
      <c r="L180" s="467"/>
      <c r="M180" s="467"/>
      <c r="N180" s="264"/>
      <c r="O180" s="529" t="s">
        <v>197</v>
      </c>
      <c r="P180" s="264"/>
      <c r="Q180" s="374">
        <v>0.2</v>
      </c>
      <c r="R180" s="264"/>
      <c r="S180" s="419">
        <f>(1+Sensitivity_Rec_Consent)*0</f>
        <v>0</v>
      </c>
      <c r="T180" s="600">
        <f>(1+Sensitivity_Rec_Consent)*hw_record_consent_costs*$Q180</f>
        <v>10000</v>
      </c>
      <c r="U180" s="419">
        <f t="shared" si="200"/>
        <v>0</v>
      </c>
      <c r="V180" s="419">
        <f t="shared" si="200"/>
        <v>0</v>
      </c>
      <c r="W180" s="419">
        <f t="shared" si="200"/>
        <v>0</v>
      </c>
      <c r="X180" s="419">
        <f t="shared" si="200"/>
        <v>0</v>
      </c>
      <c r="Y180" s="419">
        <f t="shared" si="200"/>
        <v>0</v>
      </c>
      <c r="Z180" s="419">
        <f t="shared" si="200"/>
        <v>0</v>
      </c>
      <c r="AA180" s="419">
        <f t="shared" si="200"/>
        <v>0</v>
      </c>
      <c r="AB180" s="264"/>
      <c r="AC180" s="529" t="s">
        <v>197</v>
      </c>
      <c r="AD180" s="467"/>
      <c r="AE180" s="374">
        <v>0.2</v>
      </c>
      <c r="AF180" s="263"/>
      <c r="AG180" s="419">
        <f>(1+Sensitivity_Rec_Consent)*0</f>
        <v>0</v>
      </c>
      <c r="AH180" s="419">
        <f>(1+Sensitivity_Rec_Consent)*hw_record_consent_costs*$AE180</f>
        <v>10000</v>
      </c>
      <c r="AI180" s="419">
        <f t="shared" si="201"/>
        <v>0</v>
      </c>
      <c r="AJ180" s="419">
        <f t="shared" si="201"/>
        <v>0</v>
      </c>
      <c r="AK180" s="419">
        <f t="shared" si="201"/>
        <v>0</v>
      </c>
      <c r="AL180" s="419">
        <f t="shared" si="201"/>
        <v>0</v>
      </c>
      <c r="AM180" s="419">
        <f t="shared" si="201"/>
        <v>0</v>
      </c>
      <c r="AN180" s="419">
        <f t="shared" si="201"/>
        <v>0</v>
      </c>
      <c r="AO180" s="419">
        <f t="shared" si="201"/>
        <v>0</v>
      </c>
      <c r="AP180" s="264"/>
      <c r="AQ180" s="264"/>
      <c r="AR180" s="529" t="s">
        <v>197</v>
      </c>
      <c r="AS180" s="467"/>
      <c r="AT180" s="374">
        <v>0.2</v>
      </c>
      <c r="AU180" s="263"/>
      <c r="AV180" s="419">
        <f>(1+Sensitivity_Rec_Consent)*0</f>
        <v>0</v>
      </c>
      <c r="AW180" s="419">
        <f>(1+Sensitivity_Rec_Consent)*hw_record_consent_costs*$AT180</f>
        <v>10000</v>
      </c>
      <c r="AX180" s="419">
        <f t="shared" si="202"/>
        <v>0</v>
      </c>
      <c r="AY180" s="419">
        <f t="shared" si="202"/>
        <v>0</v>
      </c>
      <c r="AZ180" s="419">
        <f t="shared" si="202"/>
        <v>0</v>
      </c>
      <c r="BA180" s="419">
        <f t="shared" si="202"/>
        <v>0</v>
      </c>
      <c r="BB180" s="419">
        <f t="shared" si="202"/>
        <v>0</v>
      </c>
      <c r="BC180" s="419">
        <f t="shared" si="202"/>
        <v>0</v>
      </c>
      <c r="BD180" s="419">
        <f t="shared" si="202"/>
        <v>0</v>
      </c>
      <c r="BE180" s="264"/>
      <c r="BF180" s="529" t="s">
        <v>197</v>
      </c>
      <c r="BG180" s="467"/>
      <c r="BH180" s="374">
        <v>0.2</v>
      </c>
      <c r="BI180" s="263"/>
      <c r="BJ180" s="419">
        <f>(1+Sensitivity_Rec_Consent)*0</f>
        <v>0</v>
      </c>
      <c r="BK180" s="419">
        <f>(1+Sensitivity_Rec_Consent)*hw_record_consent_costs*$BH180</f>
        <v>10000</v>
      </c>
      <c r="BL180" s="419">
        <f t="shared" si="203"/>
        <v>0</v>
      </c>
      <c r="BM180" s="419">
        <f t="shared" si="203"/>
        <v>0</v>
      </c>
      <c r="BN180" s="419">
        <f t="shared" si="203"/>
        <v>0</v>
      </c>
      <c r="BO180" s="419">
        <f t="shared" si="203"/>
        <v>0</v>
      </c>
      <c r="BP180" s="419">
        <f t="shared" si="203"/>
        <v>0</v>
      </c>
      <c r="BQ180" s="419">
        <f t="shared" si="203"/>
        <v>0</v>
      </c>
      <c r="BR180" s="419">
        <f t="shared" si="203"/>
        <v>0</v>
      </c>
      <c r="BS180" s="263"/>
    </row>
    <row r="181" spans="1:71" ht="24" customHeight="1" outlineLevel="1" x14ac:dyDescent="0.2">
      <c r="A181" s="312"/>
      <c r="B181" s="546" t="s">
        <v>108</v>
      </c>
      <c r="C181" s="547" t="s">
        <v>161</v>
      </c>
      <c r="D181" s="470" t="s">
        <v>111</v>
      </c>
      <c r="E181" s="456" t="s">
        <v>141</v>
      </c>
      <c r="F181" s="460" t="s">
        <v>49</v>
      </c>
      <c r="G181" s="458" t="s">
        <v>47</v>
      </c>
      <c r="H181" s="599" t="s">
        <v>120</v>
      </c>
      <c r="I181" s="732"/>
      <c r="J181" s="453"/>
      <c r="K181" s="467"/>
      <c r="L181" s="467"/>
      <c r="M181" s="467"/>
      <c r="N181" s="264"/>
      <c r="O181" s="529"/>
      <c r="P181" s="264"/>
      <c r="Q181" s="264"/>
      <c r="R181" s="264"/>
      <c r="S181" s="374">
        <v>0.2</v>
      </c>
      <c r="T181" s="374">
        <v>0.2</v>
      </c>
      <c r="U181" s="374">
        <v>0.2</v>
      </c>
      <c r="V181" s="374">
        <v>0.2</v>
      </c>
      <c r="W181" s="374">
        <v>0.2</v>
      </c>
      <c r="X181" s="374">
        <v>0.2</v>
      </c>
      <c r="Y181" s="374">
        <v>0.2</v>
      </c>
      <c r="Z181" s="374">
        <v>0.2</v>
      </c>
      <c r="AA181" s="374">
        <v>0.2</v>
      </c>
      <c r="AB181" s="264"/>
      <c r="AC181" s="529"/>
      <c r="AD181" s="467"/>
      <c r="AE181" s="264"/>
      <c r="AF181" s="263"/>
      <c r="AG181" s="374">
        <v>0.2</v>
      </c>
      <c r="AH181" s="374">
        <v>0.2</v>
      </c>
      <c r="AI181" s="374">
        <v>0.2</v>
      </c>
      <c r="AJ181" s="374">
        <v>0.2</v>
      </c>
      <c r="AK181" s="374">
        <v>0.2</v>
      </c>
      <c r="AL181" s="374">
        <v>0.2</v>
      </c>
      <c r="AM181" s="374">
        <v>0.2</v>
      </c>
      <c r="AN181" s="374">
        <v>0.2</v>
      </c>
      <c r="AO181" s="374">
        <v>0.2</v>
      </c>
      <c r="AP181" s="264"/>
      <c r="AQ181" s="264"/>
      <c r="AR181" s="529"/>
      <c r="AS181" s="467"/>
      <c r="AT181" s="264"/>
      <c r="AU181" s="263"/>
      <c r="AV181" s="374">
        <v>0.2</v>
      </c>
      <c r="AW181" s="374">
        <v>0.2</v>
      </c>
      <c r="AX181" s="374">
        <v>0.2</v>
      </c>
      <c r="AY181" s="374">
        <v>0.2</v>
      </c>
      <c r="AZ181" s="374">
        <v>0.2</v>
      </c>
      <c r="BA181" s="374">
        <v>0.2</v>
      </c>
      <c r="BB181" s="374">
        <v>0.2</v>
      </c>
      <c r="BC181" s="374">
        <v>0.2</v>
      </c>
      <c r="BD181" s="374">
        <v>0.2</v>
      </c>
      <c r="BE181" s="264"/>
      <c r="BF181" s="529"/>
      <c r="BG181" s="467"/>
      <c r="BH181" s="264"/>
      <c r="BI181" s="263"/>
      <c r="BJ181" s="374">
        <v>0.2</v>
      </c>
      <c r="BK181" s="374">
        <v>0.2</v>
      </c>
      <c r="BL181" s="374">
        <v>0.2</v>
      </c>
      <c r="BM181" s="374">
        <v>0.2</v>
      </c>
      <c r="BN181" s="374">
        <v>0.2</v>
      </c>
      <c r="BO181" s="374">
        <v>0.2</v>
      </c>
      <c r="BP181" s="374">
        <v>0.2</v>
      </c>
      <c r="BQ181" s="374">
        <v>0.2</v>
      </c>
      <c r="BR181" s="374">
        <v>0.2</v>
      </c>
      <c r="BS181" s="263"/>
    </row>
    <row r="182" spans="1:71" s="135" customFormat="1" ht="24" customHeight="1" outlineLevel="1" x14ac:dyDescent="0.2">
      <c r="A182" s="315"/>
      <c r="B182" s="437"/>
      <c r="C182" s="171"/>
      <c r="D182" s="560"/>
      <c r="E182" s="488"/>
      <c r="F182" s="587"/>
      <c r="G182" s="587"/>
      <c r="H182" s="484" t="s">
        <v>204</v>
      </c>
      <c r="I182" s="467"/>
      <c r="J182" s="488"/>
      <c r="K182" s="467"/>
      <c r="L182" s="467"/>
      <c r="M182" s="467"/>
      <c r="N182" s="264"/>
      <c r="O182" s="467"/>
      <c r="P182" s="264"/>
      <c r="Q182" s="602">
        <f ca="1">SUMIF($H$167:$H$181,$H$167,Q$167:Q$180)</f>
        <v>1</v>
      </c>
      <c r="R182" s="264"/>
      <c r="S182" s="486">
        <f ca="1">SUMIF($H$167:$H$181,$H$167,S$167:S$180)</f>
        <v>0</v>
      </c>
      <c r="T182" s="486">
        <f ca="1">SUMIF($H$167:$H$181,$H$167,T$167:T$180)</f>
        <v>66</v>
      </c>
      <c r="U182" s="486">
        <f t="shared" ref="U182:AA182" ca="1" si="204">SUMIF($H$167:$H$181,$H$167,U$167:U$180)</f>
        <v>0</v>
      </c>
      <c r="V182" s="486">
        <f t="shared" ca="1" si="204"/>
        <v>0</v>
      </c>
      <c r="W182" s="486">
        <f t="shared" ca="1" si="204"/>
        <v>0</v>
      </c>
      <c r="X182" s="486">
        <f t="shared" ca="1" si="204"/>
        <v>0</v>
      </c>
      <c r="Y182" s="486">
        <f t="shared" ca="1" si="204"/>
        <v>0</v>
      </c>
      <c r="Z182" s="486">
        <f t="shared" ca="1" si="204"/>
        <v>0</v>
      </c>
      <c r="AA182" s="486">
        <f t="shared" ca="1" si="204"/>
        <v>0</v>
      </c>
      <c r="AB182" s="264"/>
      <c r="AC182" s="467"/>
      <c r="AD182" s="467"/>
      <c r="AE182" s="602">
        <f ca="1">SUMIF($H$167:$H$181,$H$167,AE$167:AE$180)</f>
        <v>1</v>
      </c>
      <c r="AF182" s="264"/>
      <c r="AG182" s="486">
        <f ca="1">SUMIF($H$167:$H$181,$H$167,AG$167:AG$180)</f>
        <v>0</v>
      </c>
      <c r="AH182" s="486">
        <f t="shared" ref="AH182:AO182" ca="1" si="205">SUMIF($H$167:$H$181,$H$167,AH$167:AH$180)</f>
        <v>66</v>
      </c>
      <c r="AI182" s="486">
        <f t="shared" ca="1" si="205"/>
        <v>0</v>
      </c>
      <c r="AJ182" s="486">
        <f t="shared" ca="1" si="205"/>
        <v>0</v>
      </c>
      <c r="AK182" s="486">
        <f t="shared" ca="1" si="205"/>
        <v>0</v>
      </c>
      <c r="AL182" s="486">
        <f t="shared" ca="1" si="205"/>
        <v>0</v>
      </c>
      <c r="AM182" s="486">
        <f t="shared" ca="1" si="205"/>
        <v>0</v>
      </c>
      <c r="AN182" s="486">
        <f t="shared" ca="1" si="205"/>
        <v>0</v>
      </c>
      <c r="AO182" s="486">
        <f t="shared" ca="1" si="205"/>
        <v>0</v>
      </c>
      <c r="AP182" s="264"/>
      <c r="AQ182" s="264"/>
      <c r="AR182" s="467"/>
      <c r="AS182" s="467"/>
      <c r="AT182" s="602">
        <f ca="1">SUMIF($H$167:$H$181,$H$167,AT$167:AT$180)</f>
        <v>1</v>
      </c>
      <c r="AU182" s="264"/>
      <c r="AV182" s="486">
        <f ca="1">SUMIF($H$167:$H$181,$H$167,AV$167:AV$180)</f>
        <v>0</v>
      </c>
      <c r="AW182" s="486">
        <f t="shared" ref="AW182:BD182" ca="1" si="206">SUMIF($H$167:$H$181,$H$167,AW$167:AW$180)</f>
        <v>66</v>
      </c>
      <c r="AX182" s="486">
        <f t="shared" ca="1" si="206"/>
        <v>0</v>
      </c>
      <c r="AY182" s="486">
        <f t="shared" ca="1" si="206"/>
        <v>0</v>
      </c>
      <c r="AZ182" s="486">
        <f t="shared" ca="1" si="206"/>
        <v>0</v>
      </c>
      <c r="BA182" s="486">
        <f t="shared" ca="1" si="206"/>
        <v>0</v>
      </c>
      <c r="BB182" s="486">
        <f t="shared" ca="1" si="206"/>
        <v>0</v>
      </c>
      <c r="BC182" s="486">
        <f t="shared" ca="1" si="206"/>
        <v>0</v>
      </c>
      <c r="BD182" s="486">
        <f t="shared" ca="1" si="206"/>
        <v>0</v>
      </c>
      <c r="BE182" s="264"/>
      <c r="BF182" s="467"/>
      <c r="BG182" s="467"/>
      <c r="BH182" s="602">
        <f ca="1">SUMIF($H$167:$H$181,$H$167,BH$167:BH$180)</f>
        <v>1</v>
      </c>
      <c r="BI182" s="264"/>
      <c r="BJ182" s="486">
        <f ca="1">SUMIF($H$167:$H$181,$H$167,BJ$167:BJ$180)</f>
        <v>0</v>
      </c>
      <c r="BK182" s="486">
        <f t="shared" ref="BK182:BR182" ca="1" si="207">SUMIF($H$167:$H$181,$H$167,BK$167:BK$180)</f>
        <v>66</v>
      </c>
      <c r="BL182" s="486">
        <f t="shared" ca="1" si="207"/>
        <v>0</v>
      </c>
      <c r="BM182" s="486">
        <f t="shared" ca="1" si="207"/>
        <v>0</v>
      </c>
      <c r="BN182" s="486">
        <f t="shared" ca="1" si="207"/>
        <v>0</v>
      </c>
      <c r="BO182" s="486">
        <f t="shared" ca="1" si="207"/>
        <v>0</v>
      </c>
      <c r="BP182" s="486">
        <f t="shared" ca="1" si="207"/>
        <v>0</v>
      </c>
      <c r="BQ182" s="486">
        <f t="shared" ca="1" si="207"/>
        <v>0</v>
      </c>
      <c r="BR182" s="486">
        <f t="shared" ca="1" si="207"/>
        <v>0</v>
      </c>
      <c r="BS182" s="264"/>
    </row>
    <row r="183" spans="1:71" s="268" customFormat="1" ht="24" customHeight="1" outlineLevel="1" x14ac:dyDescent="0.2">
      <c r="A183" s="315"/>
      <c r="B183" s="437"/>
      <c r="C183" s="171"/>
      <c r="D183" s="560"/>
      <c r="E183" s="488"/>
      <c r="F183" s="587"/>
      <c r="G183" s="587"/>
      <c r="H183" s="484" t="s">
        <v>434</v>
      </c>
      <c r="I183" s="467"/>
      <c r="J183" s="488"/>
      <c r="K183" s="467"/>
      <c r="L183" s="467"/>
      <c r="M183" s="467"/>
      <c r="N183" s="264"/>
      <c r="O183" s="467"/>
      <c r="P183" s="264"/>
      <c r="Q183" s="602">
        <f ca="1">SUMIF($H$167:$H$181,$H$168,Q$167:Q$180)</f>
        <v>1</v>
      </c>
      <c r="R183" s="264"/>
      <c r="S183" s="486">
        <f ca="1">SUMIF($H$167:$H$181,$H$168,S$167:S$180)</f>
        <v>0</v>
      </c>
      <c r="T183" s="492">
        <f t="shared" ref="T183:AA183" ca="1" si="208">SUMIF($H$167:$H$181,$H$168,T$167:T$180)</f>
        <v>50000</v>
      </c>
      <c r="U183" s="486">
        <f t="shared" ca="1" si="208"/>
        <v>0</v>
      </c>
      <c r="V183" s="486">
        <f t="shared" ca="1" si="208"/>
        <v>0</v>
      </c>
      <c r="W183" s="486">
        <f t="shared" ca="1" si="208"/>
        <v>0</v>
      </c>
      <c r="X183" s="486">
        <f t="shared" ca="1" si="208"/>
        <v>0</v>
      </c>
      <c r="Y183" s="486">
        <f t="shared" ca="1" si="208"/>
        <v>0</v>
      </c>
      <c r="Z183" s="486">
        <f t="shared" ca="1" si="208"/>
        <v>0</v>
      </c>
      <c r="AA183" s="486">
        <f t="shared" ca="1" si="208"/>
        <v>0</v>
      </c>
      <c r="AB183" s="264"/>
      <c r="AC183" s="467"/>
      <c r="AD183" s="467"/>
      <c r="AE183" s="602">
        <f ca="1">SUMIF($H$167:$H$181,$H$168,AE$167:AE$180)</f>
        <v>1</v>
      </c>
      <c r="AF183" s="264"/>
      <c r="AG183" s="486">
        <f ca="1">SUMIF($H$167:$H$181,$H$168,AG$167:AG$180)</f>
        <v>0</v>
      </c>
      <c r="AH183" s="492">
        <f t="shared" ref="AH183:AO183" ca="1" si="209">SUMIF($H$167:$H$181,$H$168,AH$167:AH$180)</f>
        <v>50000</v>
      </c>
      <c r="AI183" s="486">
        <f t="shared" ca="1" si="209"/>
        <v>0</v>
      </c>
      <c r="AJ183" s="486">
        <f t="shared" ca="1" si="209"/>
        <v>0</v>
      </c>
      <c r="AK183" s="486">
        <f t="shared" ca="1" si="209"/>
        <v>0</v>
      </c>
      <c r="AL183" s="486">
        <f t="shared" ca="1" si="209"/>
        <v>0</v>
      </c>
      <c r="AM183" s="486">
        <f t="shared" ca="1" si="209"/>
        <v>0</v>
      </c>
      <c r="AN183" s="486">
        <f t="shared" ca="1" si="209"/>
        <v>0</v>
      </c>
      <c r="AO183" s="486">
        <f t="shared" ca="1" si="209"/>
        <v>0</v>
      </c>
      <c r="AP183" s="264"/>
      <c r="AQ183" s="264"/>
      <c r="AR183" s="467"/>
      <c r="AS183" s="467"/>
      <c r="AT183" s="602">
        <f ca="1">SUMIF($H$167:$H$181,$H$168,AT$167:AT$180)</f>
        <v>1</v>
      </c>
      <c r="AU183" s="264"/>
      <c r="AV183" s="486">
        <f ca="1">SUMIF($H$167:$H$181,$H$168,AV$167:AV$180)</f>
        <v>0</v>
      </c>
      <c r="AW183" s="492">
        <f t="shared" ref="AW183:BD183" ca="1" si="210">SUMIF($H$167:$H$181,$H$168,AW$167:AW$180)</f>
        <v>50000</v>
      </c>
      <c r="AX183" s="486">
        <f t="shared" ca="1" si="210"/>
        <v>0</v>
      </c>
      <c r="AY183" s="486">
        <f t="shared" ca="1" si="210"/>
        <v>0</v>
      </c>
      <c r="AZ183" s="486">
        <f t="shared" ca="1" si="210"/>
        <v>0</v>
      </c>
      <c r="BA183" s="486">
        <f t="shared" ca="1" si="210"/>
        <v>0</v>
      </c>
      <c r="BB183" s="486">
        <f t="shared" ca="1" si="210"/>
        <v>0</v>
      </c>
      <c r="BC183" s="486">
        <f t="shared" ca="1" si="210"/>
        <v>0</v>
      </c>
      <c r="BD183" s="486">
        <f t="shared" ca="1" si="210"/>
        <v>0</v>
      </c>
      <c r="BE183" s="264"/>
      <c r="BF183" s="467"/>
      <c r="BG183" s="467"/>
      <c r="BH183" s="602">
        <f ca="1">SUMIF($H$167:$H$181,$H$168,BH$167:BH$180)</f>
        <v>1</v>
      </c>
      <c r="BI183" s="264"/>
      <c r="BJ183" s="486">
        <f ca="1">SUMIF($H$167:$H$181,$H$168,BJ$167:BJ$180)</f>
        <v>0</v>
      </c>
      <c r="BK183" s="492">
        <f t="shared" ref="BK183:BR183" ca="1" si="211">SUMIF($H$167:$H$181,$H$168,BK$167:BK$180)</f>
        <v>50000</v>
      </c>
      <c r="BL183" s="486">
        <f t="shared" ca="1" si="211"/>
        <v>0</v>
      </c>
      <c r="BM183" s="486">
        <f t="shared" ca="1" si="211"/>
        <v>0</v>
      </c>
      <c r="BN183" s="486">
        <f t="shared" ca="1" si="211"/>
        <v>0</v>
      </c>
      <c r="BO183" s="486">
        <f t="shared" ca="1" si="211"/>
        <v>0</v>
      </c>
      <c r="BP183" s="486">
        <f t="shared" ca="1" si="211"/>
        <v>0</v>
      </c>
      <c r="BQ183" s="486">
        <f t="shared" ca="1" si="211"/>
        <v>0</v>
      </c>
      <c r="BR183" s="486">
        <f t="shared" ca="1" si="211"/>
        <v>0</v>
      </c>
      <c r="BS183" s="264"/>
    </row>
    <row r="184" spans="1:71" s="135" customFormat="1" ht="24" customHeight="1" x14ac:dyDescent="0.2">
      <c r="A184" s="315"/>
      <c r="B184" s="437"/>
      <c r="C184" s="171"/>
      <c r="D184" s="560"/>
      <c r="E184" s="488"/>
      <c r="F184" s="587"/>
      <c r="G184" s="587"/>
      <c r="H184" s="488"/>
      <c r="I184" s="467"/>
      <c r="J184" s="488"/>
      <c r="K184" s="467"/>
      <c r="L184" s="467"/>
      <c r="M184" s="467"/>
      <c r="N184" s="264"/>
      <c r="O184" s="467"/>
      <c r="P184" s="264"/>
      <c r="Q184" s="264"/>
      <c r="R184" s="264"/>
      <c r="S184" s="590"/>
      <c r="T184" s="590"/>
      <c r="U184" s="590"/>
      <c r="V184" s="590"/>
      <c r="W184" s="590"/>
      <c r="X184" s="590"/>
      <c r="Y184" s="590"/>
      <c r="Z184" s="590"/>
      <c r="AA184" s="590"/>
      <c r="AB184" s="264"/>
      <c r="AC184" s="467"/>
      <c r="AD184" s="467"/>
      <c r="AE184" s="264"/>
      <c r="AF184" s="264"/>
      <c r="AG184" s="590"/>
      <c r="AH184" s="590"/>
      <c r="AI184" s="590"/>
      <c r="AJ184" s="590"/>
      <c r="AK184" s="590"/>
      <c r="AL184" s="590"/>
      <c r="AM184" s="590"/>
      <c r="AN184" s="590"/>
      <c r="AO184" s="590"/>
      <c r="AP184" s="264"/>
      <c r="AQ184" s="264"/>
      <c r="AR184" s="467"/>
      <c r="AS184" s="467"/>
      <c r="AT184" s="264"/>
      <c r="AU184" s="264"/>
      <c r="AV184" s="391"/>
      <c r="AW184" s="391"/>
      <c r="AX184" s="391"/>
      <c r="AY184" s="391"/>
      <c r="AZ184" s="391"/>
      <c r="BA184" s="391"/>
      <c r="BB184" s="391"/>
      <c r="BC184" s="391"/>
      <c r="BD184" s="391"/>
      <c r="BE184" s="264"/>
      <c r="BF184" s="467" t="s">
        <v>236</v>
      </c>
      <c r="BG184" s="467"/>
      <c r="BH184" s="264"/>
      <c r="BI184" s="264"/>
      <c r="BJ184" s="391"/>
      <c r="BK184" s="391"/>
      <c r="BL184" s="391"/>
      <c r="BM184" s="391"/>
      <c r="BN184" s="391"/>
      <c r="BO184" s="391"/>
      <c r="BP184" s="391"/>
      <c r="BQ184" s="391"/>
      <c r="BR184" s="391"/>
      <c r="BS184" s="264"/>
    </row>
    <row r="185" spans="1:71" ht="102" customHeight="1" x14ac:dyDescent="0.2">
      <c r="A185" s="312"/>
      <c r="B185" s="538"/>
      <c r="C185" s="538" t="s">
        <v>108</v>
      </c>
      <c r="D185" s="397" t="s">
        <v>192</v>
      </c>
      <c r="E185" s="397"/>
      <c r="F185" s="397"/>
      <c r="G185" s="397"/>
      <c r="H185" s="540" t="s">
        <v>511</v>
      </c>
      <c r="I185" s="540"/>
      <c r="J185" s="398"/>
      <c r="K185" s="541"/>
      <c r="L185" s="541"/>
      <c r="M185" s="541"/>
      <c r="N185" s="398"/>
      <c r="O185" s="540"/>
      <c r="P185" s="398"/>
      <c r="Q185" s="398"/>
      <c r="R185" s="398"/>
      <c r="S185" s="543"/>
      <c r="T185" s="543"/>
      <c r="U185" s="543"/>
      <c r="V185" s="543"/>
      <c r="W185" s="543"/>
      <c r="X185" s="543"/>
      <c r="Y185" s="543"/>
      <c r="Z185" s="543"/>
      <c r="AA185" s="543"/>
      <c r="AB185" s="264"/>
      <c r="AC185" s="540"/>
      <c r="AD185" s="603"/>
      <c r="AE185" s="398"/>
      <c r="AF185" s="396"/>
      <c r="AG185" s="543"/>
      <c r="AH185" s="543"/>
      <c r="AI185" s="543"/>
      <c r="AJ185" s="543"/>
      <c r="AK185" s="543"/>
      <c r="AL185" s="543"/>
      <c r="AM185" s="543"/>
      <c r="AN185" s="543"/>
      <c r="AO185" s="543"/>
      <c r="AP185" s="264"/>
      <c r="AQ185" s="264"/>
      <c r="AR185" s="539"/>
      <c r="AS185" s="398"/>
      <c r="AT185" s="398"/>
      <c r="AU185" s="396"/>
      <c r="AV185" s="396"/>
      <c r="AW185" s="396"/>
      <c r="AX185" s="396"/>
      <c r="AY185" s="396"/>
      <c r="AZ185" s="396"/>
      <c r="BA185" s="396"/>
      <c r="BB185" s="396"/>
      <c r="BC185" s="396"/>
      <c r="BD185" s="396"/>
      <c r="BE185" s="264"/>
      <c r="BF185" s="539"/>
      <c r="BG185" s="398"/>
      <c r="BH185" s="398"/>
      <c r="BI185" s="396"/>
      <c r="BJ185" s="396"/>
      <c r="BK185" s="396"/>
      <c r="BL185" s="396"/>
      <c r="BM185" s="396"/>
      <c r="BN185" s="396"/>
      <c r="BO185" s="396"/>
      <c r="BP185" s="396"/>
      <c r="BQ185" s="396"/>
      <c r="BR185" s="396"/>
      <c r="BS185" s="263"/>
    </row>
    <row r="186" spans="1:71" ht="12.75" outlineLevel="1" x14ac:dyDescent="0.2">
      <c r="A186" s="312"/>
      <c r="B186" s="263"/>
      <c r="C186" s="263"/>
      <c r="D186" s="263"/>
      <c r="E186" s="263"/>
      <c r="F186" s="263"/>
      <c r="G186" s="506"/>
      <c r="H186" s="263"/>
      <c r="I186" s="345"/>
      <c r="J186" s="264"/>
      <c r="K186" s="345"/>
      <c r="L186" s="345"/>
      <c r="M186" s="345"/>
      <c r="N186" s="264"/>
      <c r="O186" s="345"/>
      <c r="P186" s="264"/>
      <c r="Q186" s="264"/>
      <c r="R186" s="264"/>
      <c r="S186" s="591"/>
      <c r="T186" s="591"/>
      <c r="U186" s="591"/>
      <c r="V186" s="591"/>
      <c r="W186" s="591"/>
      <c r="X186" s="591"/>
      <c r="Y186" s="591"/>
      <c r="Z186" s="591"/>
      <c r="AA186" s="591"/>
      <c r="AB186" s="264"/>
      <c r="AC186" s="345"/>
      <c r="AD186" s="508"/>
      <c r="AE186" s="264"/>
      <c r="AF186" s="263"/>
      <c r="AG186" s="591"/>
      <c r="AH186" s="591"/>
      <c r="AI186" s="591"/>
      <c r="AJ186" s="591"/>
      <c r="AK186" s="591"/>
      <c r="AL186" s="591"/>
      <c r="AM186" s="591"/>
      <c r="AN186" s="591"/>
      <c r="AO186" s="591"/>
      <c r="AP186" s="264"/>
      <c r="AQ186" s="264"/>
      <c r="AR186" s="345"/>
      <c r="AS186" s="264"/>
      <c r="AT186" s="264"/>
      <c r="AU186" s="263"/>
      <c r="AV186" s="263"/>
      <c r="AW186" s="263"/>
      <c r="AX186" s="263"/>
      <c r="AY186" s="263"/>
      <c r="AZ186" s="263"/>
      <c r="BA186" s="263"/>
      <c r="BB186" s="263"/>
      <c r="BC186" s="263"/>
      <c r="BD186" s="263"/>
      <c r="BE186" s="264"/>
      <c r="BF186" s="345"/>
      <c r="BG186" s="264"/>
      <c r="BH186" s="264"/>
      <c r="BI186" s="263"/>
      <c r="BJ186" s="263"/>
      <c r="BK186" s="263"/>
      <c r="BL186" s="263"/>
      <c r="BM186" s="263"/>
      <c r="BN186" s="263"/>
      <c r="BO186" s="263"/>
      <c r="BP186" s="263"/>
      <c r="BQ186" s="263"/>
      <c r="BR186" s="263"/>
      <c r="BS186" s="263"/>
    </row>
    <row r="187" spans="1:71" ht="24" customHeight="1" outlineLevel="1" x14ac:dyDescent="0.2">
      <c r="A187" s="400"/>
      <c r="B187" s="546" t="s">
        <v>108</v>
      </c>
      <c r="C187" s="547" t="s">
        <v>171</v>
      </c>
      <c r="D187" s="515" t="s">
        <v>109</v>
      </c>
      <c r="E187" s="413" t="s">
        <v>175</v>
      </c>
      <c r="F187" s="414" t="s">
        <v>51</v>
      </c>
      <c r="G187" s="413" t="s">
        <v>50</v>
      </c>
      <c r="H187" s="511" t="s">
        <v>214</v>
      </c>
      <c r="I187" s="744" t="s">
        <v>237</v>
      </c>
      <c r="J187" s="411"/>
      <c r="K187" s="440"/>
      <c r="L187" s="440"/>
      <c r="M187" s="440"/>
      <c r="N187" s="93"/>
      <c r="O187" s="515" t="s">
        <v>206</v>
      </c>
      <c r="P187" s="93"/>
      <c r="Q187" s="374">
        <v>0.1</v>
      </c>
      <c r="R187" s="93"/>
      <c r="S187" s="419">
        <f>(1+Sensitivity_FE_Order)*(Complex_Process_Effort*(1+PM_Overhead)*$Q187)</f>
        <v>6.6000000000000005</v>
      </c>
      <c r="T187" s="419">
        <f>(1+Sensitivity_FE_Order)*(Complex_Process_Effort*(1+PM_Overhead)*$Q187)</f>
        <v>6.6000000000000005</v>
      </c>
      <c r="U187" s="419">
        <f>(1+Sensitivity_FE_Order)*(Complex_Process_Effort*(1+PM_Overhead)*$Q187)</f>
        <v>6.6000000000000005</v>
      </c>
      <c r="V187" s="419">
        <f>(1+Sensitivity_FE_Order)*(Complex_Process_Effort*(1+PM_Overhead)*$Q187)</f>
        <v>6.6000000000000005</v>
      </c>
      <c r="W187" s="419">
        <f>(1+Sensitivity_FE_Order)*0</f>
        <v>0</v>
      </c>
      <c r="X187" s="419">
        <f>(1+Sensitivity_FE_Order)*0</f>
        <v>0</v>
      </c>
      <c r="Y187" s="419">
        <f>(1+Sensitivity_FE_Order)*0</f>
        <v>0</v>
      </c>
      <c r="Z187" s="419">
        <f>(1+Sensitivity_FE_Order)*0</f>
        <v>0</v>
      </c>
      <c r="AA187" s="419">
        <f>(1+Sensitivity_FE_Order)*0</f>
        <v>0</v>
      </c>
      <c r="AB187" s="93"/>
      <c r="AC187" s="515" t="s">
        <v>206</v>
      </c>
      <c r="AD187" s="440"/>
      <c r="AE187" s="374">
        <v>0.1</v>
      </c>
      <c r="AF187" s="158"/>
      <c r="AG187" s="419">
        <f>(1+Sensitivity_FE_Order)*((Complex_Process_Effort*(1+PM_Overhead)*$AE187))</f>
        <v>6.6000000000000005</v>
      </c>
      <c r="AH187" s="419">
        <f>(1+Sensitivity_FE_Order)*((Complex_Process_Effort*(1+PM_Overhead)*$AE187))</f>
        <v>6.6000000000000005</v>
      </c>
      <c r="AI187" s="419">
        <f>(1+Sensitivity_FE_Order)*((Complex_Process_Effort*(1+PM_Overhead)*$AE187))</f>
        <v>6.6000000000000005</v>
      </c>
      <c r="AJ187" s="419">
        <f>(1+Sensitivity_FE_Order)*((Complex_Process_Effort*(1+PM_Overhead)*$AE187))</f>
        <v>6.6000000000000005</v>
      </c>
      <c r="AK187" s="419">
        <f>(1+Sensitivity_FE_Order)*0</f>
        <v>0</v>
      </c>
      <c r="AL187" s="419">
        <f>(1+Sensitivity_FE_Order)*0</f>
        <v>0</v>
      </c>
      <c r="AM187" s="419">
        <f>(1+Sensitivity_FE_Order)*0</f>
        <v>0</v>
      </c>
      <c r="AN187" s="419">
        <f>(1+Sensitivity_FE_Order)*0</f>
        <v>0</v>
      </c>
      <c r="AO187" s="419">
        <f>(1+Sensitivity_FE_Order)*0</f>
        <v>0</v>
      </c>
      <c r="AP187" s="264"/>
      <c r="AQ187" s="264"/>
      <c r="AR187" s="514" t="s">
        <v>206</v>
      </c>
      <c r="AS187" s="440"/>
      <c r="AT187" s="374">
        <v>0.1</v>
      </c>
      <c r="AU187" s="158"/>
      <c r="AV187" s="419">
        <f>(1+Sensitivity_FE_Order)*((Complex_Process_Effort*(1+PM_Overhead)*$AT187))</f>
        <v>6.6000000000000005</v>
      </c>
      <c r="AW187" s="419">
        <f>(1+Sensitivity_FE_Order)*((Complex_Process_Effort*(1+PM_Overhead)*$AT187))</f>
        <v>6.6000000000000005</v>
      </c>
      <c r="AX187" s="419">
        <f>(1+Sensitivity_FE_Order)*((Complex_Process_Effort*(1+PM_Overhead)*$AT187))</f>
        <v>6.6000000000000005</v>
      </c>
      <c r="AY187" s="419">
        <f>(1+Sensitivity_FE_Order)*((Complex_Process_Effort*(1+PM_Overhead)*$AT187))</f>
        <v>6.6000000000000005</v>
      </c>
      <c r="AZ187" s="419">
        <f>(1+Sensitivity_FE_Order)*0</f>
        <v>0</v>
      </c>
      <c r="BA187" s="419">
        <f>(1+Sensitivity_FE_Order)*0</f>
        <v>0</v>
      </c>
      <c r="BB187" s="419">
        <f>(1+Sensitivity_FE_Order)*((Complex_Process_Effort*(1+PM_Overhead)*$AT187))*TierC_TierB_ratio</f>
        <v>3.3000000000000003</v>
      </c>
      <c r="BC187" s="419">
        <f>(1+Sensitivity_FE_Order)*0</f>
        <v>0</v>
      </c>
      <c r="BD187" s="419">
        <f>BB187</f>
        <v>3.3000000000000003</v>
      </c>
      <c r="BE187" s="264"/>
      <c r="BF187" s="514" t="s">
        <v>206</v>
      </c>
      <c r="BG187" s="440"/>
      <c r="BH187" s="374">
        <v>0.1</v>
      </c>
      <c r="BI187" s="158"/>
      <c r="BJ187" s="419">
        <f>(1+Sensitivity_FE_Order)*((Complex_Process_Effort*(1+PM_Overhead)*$BH187))</f>
        <v>6.6000000000000005</v>
      </c>
      <c r="BK187" s="419">
        <f>(1+Sensitivity_FE_Order)*((Complex_Process_Effort*(1+PM_Overhead)*$BH187))</f>
        <v>6.6000000000000005</v>
      </c>
      <c r="BL187" s="419">
        <f>(1+Sensitivity_FE_Order)*((Complex_Process_Effort*(1+PM_Overhead)*$BH187))</f>
        <v>6.6000000000000005</v>
      </c>
      <c r="BM187" s="419">
        <f>(1+Sensitivity_FE_Order)*((Complex_Process_Effort*(1+PM_Overhead)*$BH187))</f>
        <v>6.6000000000000005</v>
      </c>
      <c r="BN187" s="419">
        <f>(1+Sensitivity_FE_Order)*0</f>
        <v>0</v>
      </c>
      <c r="BO187" s="419">
        <f>(1+Sensitivity_FE_Order)*0</f>
        <v>0</v>
      </c>
      <c r="BP187" s="419">
        <f>(1+Sensitivity_FE_Order)*((Complex_Process_Effort*(1+PM_Overhead)*$BH187))*TierC_TierB_ratio</f>
        <v>3.3000000000000003</v>
      </c>
      <c r="BQ187" s="419">
        <f>(1+Sensitivity_FE_Order)*0</f>
        <v>0</v>
      </c>
      <c r="BR187" s="419">
        <f>BP187</f>
        <v>3.3000000000000003</v>
      </c>
      <c r="BS187" s="263"/>
    </row>
    <row r="188" spans="1:71" ht="24" customHeight="1" outlineLevel="1" x14ac:dyDescent="0.2">
      <c r="A188" s="400"/>
      <c r="B188" s="546" t="s">
        <v>108</v>
      </c>
      <c r="C188" s="547" t="s">
        <v>171</v>
      </c>
      <c r="D188" s="515" t="s">
        <v>109</v>
      </c>
      <c r="E188" s="413" t="s">
        <v>175</v>
      </c>
      <c r="F188" s="414" t="s">
        <v>49</v>
      </c>
      <c r="G188" s="413" t="s">
        <v>47</v>
      </c>
      <c r="H188" s="511" t="s">
        <v>118</v>
      </c>
      <c r="I188" s="745"/>
      <c r="J188" s="411"/>
      <c r="K188" s="440"/>
      <c r="L188" s="440"/>
      <c r="M188" s="440"/>
      <c r="N188" s="93"/>
      <c r="O188" s="515"/>
      <c r="P188" s="93"/>
      <c r="Q188" s="93"/>
      <c r="R188" s="93"/>
      <c r="S188" s="374">
        <v>0.2</v>
      </c>
      <c r="T188" s="374">
        <v>0.2</v>
      </c>
      <c r="U188" s="374">
        <v>0.2</v>
      </c>
      <c r="V188" s="374">
        <v>0.2</v>
      </c>
      <c r="W188" s="374">
        <v>0.2</v>
      </c>
      <c r="X188" s="374">
        <v>0.2</v>
      </c>
      <c r="Y188" s="374">
        <v>0.2</v>
      </c>
      <c r="Z188" s="374">
        <v>0.2</v>
      </c>
      <c r="AA188" s="374">
        <v>0.2</v>
      </c>
      <c r="AB188" s="93"/>
      <c r="AC188" s="515"/>
      <c r="AD188" s="440"/>
      <c r="AE188" s="93"/>
      <c r="AF188" s="158"/>
      <c r="AG188" s="374">
        <v>0.2</v>
      </c>
      <c r="AH188" s="374">
        <v>0.2</v>
      </c>
      <c r="AI188" s="374">
        <v>0.2</v>
      </c>
      <c r="AJ188" s="374">
        <v>0.2</v>
      </c>
      <c r="AK188" s="374">
        <v>0.2</v>
      </c>
      <c r="AL188" s="374">
        <v>0.2</v>
      </c>
      <c r="AM188" s="374">
        <v>0.2</v>
      </c>
      <c r="AN188" s="374">
        <v>0.2</v>
      </c>
      <c r="AO188" s="374">
        <v>0.2</v>
      </c>
      <c r="AP188" s="264"/>
      <c r="AQ188" s="264"/>
      <c r="AR188" s="515"/>
      <c r="AS188" s="440"/>
      <c r="AT188" s="93"/>
      <c r="AU188" s="158"/>
      <c r="AV188" s="374">
        <v>0.2</v>
      </c>
      <c r="AW188" s="374">
        <v>0.2</v>
      </c>
      <c r="AX188" s="374">
        <v>0.2</v>
      </c>
      <c r="AY188" s="374">
        <v>0.2</v>
      </c>
      <c r="AZ188" s="374">
        <v>0.2</v>
      </c>
      <c r="BA188" s="374">
        <v>0.2</v>
      </c>
      <c r="BB188" s="374">
        <v>0.2</v>
      </c>
      <c r="BC188" s="374">
        <v>0.2</v>
      </c>
      <c r="BD188" s="374">
        <v>0.2</v>
      </c>
      <c r="BE188" s="264"/>
      <c r="BF188" s="515"/>
      <c r="BG188" s="440"/>
      <c r="BH188" s="93"/>
      <c r="BI188" s="158"/>
      <c r="BJ188" s="374">
        <v>0.2</v>
      </c>
      <c r="BK188" s="374">
        <v>0.2</v>
      </c>
      <c r="BL188" s="374">
        <v>0.2</v>
      </c>
      <c r="BM188" s="374">
        <v>0.2</v>
      </c>
      <c r="BN188" s="374">
        <v>0.2</v>
      </c>
      <c r="BO188" s="374">
        <v>0.2</v>
      </c>
      <c r="BP188" s="374">
        <v>0.2</v>
      </c>
      <c r="BQ188" s="374">
        <v>0.2</v>
      </c>
      <c r="BR188" s="374">
        <v>0.2</v>
      </c>
      <c r="BS188" s="263"/>
    </row>
    <row r="189" spans="1:71" ht="24" customHeight="1" outlineLevel="1" x14ac:dyDescent="0.2">
      <c r="A189" s="400"/>
      <c r="B189" s="546" t="s">
        <v>108</v>
      </c>
      <c r="C189" s="547" t="s">
        <v>171</v>
      </c>
      <c r="D189" s="515" t="s">
        <v>109</v>
      </c>
      <c r="E189" s="413" t="s">
        <v>175</v>
      </c>
      <c r="F189" s="414" t="s">
        <v>51</v>
      </c>
      <c r="G189" s="413" t="s">
        <v>50</v>
      </c>
      <c r="H189" s="511" t="s">
        <v>117</v>
      </c>
      <c r="I189" s="745"/>
      <c r="J189" s="407"/>
      <c r="K189" s="454"/>
      <c r="L189" s="454"/>
      <c r="M189" s="454"/>
      <c r="N189" s="93"/>
      <c r="O189" s="551" t="s">
        <v>251</v>
      </c>
      <c r="P189" s="93"/>
      <c r="Q189" s="374">
        <v>0.2</v>
      </c>
      <c r="R189" s="93"/>
      <c r="S189" s="419">
        <f>(1+Sensitivity_FE_Order)*Training_Duration*$Q189</f>
        <v>0.4</v>
      </c>
      <c r="T189" s="419">
        <f>(1+Sensitivity_FE_Order)*Training_Duration*$Q189</f>
        <v>0.4</v>
      </c>
      <c r="U189" s="419">
        <f>(1+Sensitivity_FE_Order)*Training_Duration*$Q189</f>
        <v>0.4</v>
      </c>
      <c r="V189" s="419">
        <f>(1+Sensitivity_FE_Order)*Training_Duration*$Q189</f>
        <v>0.4</v>
      </c>
      <c r="W189" s="419">
        <f>(1+Sensitivity_FE_Order)*0</f>
        <v>0</v>
      </c>
      <c r="X189" s="419">
        <f>(1+Sensitivity_FE_Order)*0</f>
        <v>0</v>
      </c>
      <c r="Y189" s="419">
        <f>(1+Sensitivity_FE_Order)*Training_Duration*$Q189</f>
        <v>0.4</v>
      </c>
      <c r="Z189" s="419">
        <f>(1+Sensitivity_FE_Order)*Training_Duration*$Q189</f>
        <v>0.4</v>
      </c>
      <c r="AA189" s="419">
        <f>(1+Sensitivity_FE_Order)*0</f>
        <v>0</v>
      </c>
      <c r="AB189" s="93"/>
      <c r="AC189" s="551" t="s">
        <v>251</v>
      </c>
      <c r="AD189" s="454"/>
      <c r="AE189" s="374">
        <v>0.2</v>
      </c>
      <c r="AF189" s="158"/>
      <c r="AG189" s="419">
        <f>(1+Sensitivity_FE_Order)*Training_Duration*$AE189</f>
        <v>0.4</v>
      </c>
      <c r="AH189" s="419">
        <f>(1+Sensitivity_FE_Order)*Training_Duration*$AE189</f>
        <v>0.4</v>
      </c>
      <c r="AI189" s="419">
        <f>(1+Sensitivity_FE_Order)*Training_Duration*$AE189</f>
        <v>0.4</v>
      </c>
      <c r="AJ189" s="419">
        <f>(1+Sensitivity_FE_Order)*Training_Duration*$AE189</f>
        <v>0.4</v>
      </c>
      <c r="AK189" s="419">
        <f>(1+Sensitivity_FE_Order)*0</f>
        <v>0</v>
      </c>
      <c r="AL189" s="419">
        <f>(1+Sensitivity_FE_Order)*0</f>
        <v>0</v>
      </c>
      <c r="AM189" s="419">
        <f>(1+Sensitivity_FE_Order)*Training_Duration*$AE189</f>
        <v>0.4</v>
      </c>
      <c r="AN189" s="419">
        <f>(1+Sensitivity_FE_Order)*Training_Duration*$AE189</f>
        <v>0.4</v>
      </c>
      <c r="AO189" s="419">
        <f>(1+Sensitivity_FE_Order)*0</f>
        <v>0</v>
      </c>
      <c r="AP189" s="264"/>
      <c r="AQ189" s="264"/>
      <c r="AR189" s="551" t="s">
        <v>251</v>
      </c>
      <c r="AS189" s="454"/>
      <c r="AT189" s="374">
        <v>0.2</v>
      </c>
      <c r="AU189" s="158"/>
      <c r="AV189" s="419">
        <f>(1+Sensitivity_FE_Order)*Training_Duration*$AT189</f>
        <v>0.4</v>
      </c>
      <c r="AW189" s="419">
        <f>(1+Sensitivity_FE_Order)*Training_Duration*$AT189</f>
        <v>0.4</v>
      </c>
      <c r="AX189" s="419">
        <f>(1+Sensitivity_FE_Order)*Training_Duration*$AT189</f>
        <v>0.4</v>
      </c>
      <c r="AY189" s="419">
        <f>(1+Sensitivity_FE_Order)*Training_Duration*$AT189</f>
        <v>0.4</v>
      </c>
      <c r="AZ189" s="419">
        <f>(1+Sensitivity_FE_Order)*0</f>
        <v>0</v>
      </c>
      <c r="BA189" s="419">
        <f>(1+Sensitivity_FE_Order)*0</f>
        <v>0</v>
      </c>
      <c r="BB189" s="419">
        <f>(1+Sensitivity_FE_Order)*Training_Duration*$AT189</f>
        <v>0.4</v>
      </c>
      <c r="BC189" s="419">
        <f>(1+Sensitivity_FE_Order)*Training_Duration*$AT189</f>
        <v>0.4</v>
      </c>
      <c r="BD189" s="419">
        <f>(1+Sensitivity_FE_Order)*0</f>
        <v>0</v>
      </c>
      <c r="BE189" s="264"/>
      <c r="BF189" s="551" t="s">
        <v>251</v>
      </c>
      <c r="BG189" s="454"/>
      <c r="BH189" s="374">
        <v>0.2</v>
      </c>
      <c r="BI189" s="158"/>
      <c r="BJ189" s="419">
        <f>(1+Sensitivity_FE_Order)*Training_Duration*$BH189</f>
        <v>0.4</v>
      </c>
      <c r="BK189" s="419">
        <f>(1+Sensitivity_FE_Order)*Training_Duration*$BH189</f>
        <v>0.4</v>
      </c>
      <c r="BL189" s="419">
        <f>(1+Sensitivity_FE_Order)*Training_Duration*$BH189</f>
        <v>0.4</v>
      </c>
      <c r="BM189" s="419">
        <f>(1+Sensitivity_FE_Order)*Training_Duration*$BH189</f>
        <v>0.4</v>
      </c>
      <c r="BN189" s="419">
        <f>(1+Sensitivity_FE_Order)*0</f>
        <v>0</v>
      </c>
      <c r="BO189" s="419">
        <f>(1+Sensitivity_FE_Order)*0</f>
        <v>0</v>
      </c>
      <c r="BP189" s="419">
        <f>(1+Sensitivity_FE_Order)*Training_Duration*$BH189</f>
        <v>0.4</v>
      </c>
      <c r="BQ189" s="419">
        <f>(1+Sensitivity_FE_Order)*Training_Duration*$BH189</f>
        <v>0.4</v>
      </c>
      <c r="BR189" s="419">
        <f>(1+Sensitivity_FE_Order)*0</f>
        <v>0</v>
      </c>
      <c r="BS189" s="263"/>
    </row>
    <row r="190" spans="1:71" ht="24" customHeight="1" outlineLevel="1" x14ac:dyDescent="0.2">
      <c r="A190" s="400"/>
      <c r="B190" s="546" t="s">
        <v>108</v>
      </c>
      <c r="C190" s="547" t="s">
        <v>171</v>
      </c>
      <c r="D190" s="515" t="s">
        <v>109</v>
      </c>
      <c r="E190" s="413" t="s">
        <v>175</v>
      </c>
      <c r="F190" s="414" t="s">
        <v>48</v>
      </c>
      <c r="G190" s="413" t="s">
        <v>50</v>
      </c>
      <c r="H190" s="511" t="s">
        <v>116</v>
      </c>
      <c r="I190" s="746"/>
      <c r="J190" s="417"/>
      <c r="K190" s="440"/>
      <c r="L190" s="440"/>
      <c r="M190" s="440"/>
      <c r="N190" s="93"/>
      <c r="O190" s="551" t="s">
        <v>218</v>
      </c>
      <c r="P190" s="93"/>
      <c r="Q190" s="93"/>
      <c r="R190" s="93"/>
      <c r="S190" s="419">
        <v>0</v>
      </c>
      <c r="T190" s="419">
        <v>0</v>
      </c>
      <c r="U190" s="419">
        <v>0</v>
      </c>
      <c r="V190" s="419">
        <v>0</v>
      </c>
      <c r="W190" s="419">
        <v>0</v>
      </c>
      <c r="X190" s="419">
        <v>0</v>
      </c>
      <c r="Y190" s="419">
        <v>0</v>
      </c>
      <c r="Z190" s="419">
        <v>0</v>
      </c>
      <c r="AA190" s="419">
        <v>0</v>
      </c>
      <c r="AB190" s="93"/>
      <c r="AC190" s="551" t="s">
        <v>218</v>
      </c>
      <c r="AD190" s="440"/>
      <c r="AE190" s="93"/>
      <c r="AF190" s="158"/>
      <c r="AG190" s="419">
        <v>0</v>
      </c>
      <c r="AH190" s="419">
        <v>0</v>
      </c>
      <c r="AI190" s="419">
        <v>0</v>
      </c>
      <c r="AJ190" s="419">
        <v>0</v>
      </c>
      <c r="AK190" s="419">
        <v>0</v>
      </c>
      <c r="AL190" s="419">
        <v>0</v>
      </c>
      <c r="AM190" s="419">
        <v>0</v>
      </c>
      <c r="AN190" s="419">
        <v>0</v>
      </c>
      <c r="AO190" s="419">
        <v>0</v>
      </c>
      <c r="AP190" s="264"/>
      <c r="AQ190" s="264"/>
      <c r="AR190" s="551" t="s">
        <v>218</v>
      </c>
      <c r="AS190" s="440"/>
      <c r="AT190" s="93"/>
      <c r="AU190" s="158"/>
      <c r="AV190" s="419">
        <v>0</v>
      </c>
      <c r="AW190" s="419">
        <v>0</v>
      </c>
      <c r="AX190" s="419">
        <v>0</v>
      </c>
      <c r="AY190" s="419">
        <v>0</v>
      </c>
      <c r="AZ190" s="419">
        <v>0</v>
      </c>
      <c r="BA190" s="419">
        <v>0</v>
      </c>
      <c r="BB190" s="419">
        <v>0</v>
      </c>
      <c r="BC190" s="419">
        <v>0</v>
      </c>
      <c r="BD190" s="419">
        <v>0</v>
      </c>
      <c r="BE190" s="264"/>
      <c r="BF190" s="551" t="s">
        <v>218</v>
      </c>
      <c r="BG190" s="440"/>
      <c r="BH190" s="93"/>
      <c r="BI190" s="158"/>
      <c r="BJ190" s="419">
        <v>0</v>
      </c>
      <c r="BK190" s="419">
        <v>0</v>
      </c>
      <c r="BL190" s="419">
        <v>0</v>
      </c>
      <c r="BM190" s="419">
        <v>0</v>
      </c>
      <c r="BN190" s="419">
        <v>0</v>
      </c>
      <c r="BO190" s="419">
        <v>0</v>
      </c>
      <c r="BP190" s="419">
        <v>0</v>
      </c>
      <c r="BQ190" s="419">
        <v>0</v>
      </c>
      <c r="BR190" s="419">
        <v>0</v>
      </c>
      <c r="BS190" s="263"/>
    </row>
    <row r="191" spans="1:71" ht="24" customHeight="1" outlineLevel="1" x14ac:dyDescent="0.2">
      <c r="A191" s="312"/>
      <c r="B191" s="437" t="s">
        <v>108</v>
      </c>
      <c r="C191" s="171" t="s">
        <v>171</v>
      </c>
      <c r="D191" s="432" t="s">
        <v>109</v>
      </c>
      <c r="E191" s="426" t="s">
        <v>149</v>
      </c>
      <c r="F191" s="422" t="s">
        <v>51</v>
      </c>
      <c r="G191" s="426" t="s">
        <v>50</v>
      </c>
      <c r="H191" s="594" t="s">
        <v>214</v>
      </c>
      <c r="I191" s="747" t="s">
        <v>180</v>
      </c>
      <c r="J191" s="424"/>
      <c r="K191" s="424"/>
      <c r="L191" s="424"/>
      <c r="M191" s="424"/>
      <c r="N191" s="264"/>
      <c r="O191" s="553" t="s">
        <v>208</v>
      </c>
      <c r="P191" s="264"/>
      <c r="Q191" s="374">
        <v>0.35</v>
      </c>
      <c r="R191" s="264"/>
      <c r="S191" s="419">
        <f>(1+Sensitivity_FE_Order)*(Complex_Process_Effort*(1+PM_Overhead)*$Q191)</f>
        <v>23.099999999999998</v>
      </c>
      <c r="T191" s="419">
        <f>(1+Sensitivity_FE_Order)*(Complex_Process_Effort*(1+PM_Overhead)*$Q191)</f>
        <v>23.099999999999998</v>
      </c>
      <c r="U191" s="419">
        <f>(1+Sensitivity_FE_Order)*(Complex_Process_Effort*(1+PM_Overhead)*$Q191)</f>
        <v>23.099999999999998</v>
      </c>
      <c r="V191" s="419">
        <f>(1+Sensitivity_FE_Order)*(Complex_Process_Effort*(1+PM_Overhead)*$Q191)</f>
        <v>23.099999999999998</v>
      </c>
      <c r="W191" s="419">
        <f>(1+Sensitivity_FE_Order)*0</f>
        <v>0</v>
      </c>
      <c r="X191" s="419">
        <f>(1+Sensitivity_FE_Order)*0</f>
        <v>0</v>
      </c>
      <c r="Y191" s="419">
        <f>(1+Sensitivity_FE_Order)*0</f>
        <v>0</v>
      </c>
      <c r="Z191" s="419">
        <f>(1+Sensitivity_FE_Order)*0</f>
        <v>0</v>
      </c>
      <c r="AA191" s="419">
        <f>(1+Sensitivity_FE_Order)*0</f>
        <v>0</v>
      </c>
      <c r="AB191" s="264"/>
      <c r="AC191" s="553" t="s">
        <v>208</v>
      </c>
      <c r="AD191" s="424"/>
      <c r="AE191" s="374">
        <v>0.35</v>
      </c>
      <c r="AF191" s="263"/>
      <c r="AG191" s="419">
        <f>(1+Sensitivity_FE_Order)*((Complex_Process_Effort*(1+PM_Overhead)*$AE191))</f>
        <v>23.099999999999998</v>
      </c>
      <c r="AH191" s="419">
        <f>(1+Sensitivity_FE_Order)*((Complex_Process_Effort*(1+PM_Overhead)*$AE191))</f>
        <v>23.099999999999998</v>
      </c>
      <c r="AI191" s="419">
        <f>(1+Sensitivity_FE_Order)*((Complex_Process_Effort*(1+PM_Overhead)*$AE191))</f>
        <v>23.099999999999998</v>
      </c>
      <c r="AJ191" s="419">
        <f>(1+Sensitivity_FE_Order)*((Complex_Process_Effort*(1+PM_Overhead)*$AE191))</f>
        <v>23.099999999999998</v>
      </c>
      <c r="AK191" s="419">
        <f>(1+Sensitivity_FE_Order)*0</f>
        <v>0</v>
      </c>
      <c r="AL191" s="419">
        <f>(1+Sensitivity_FE_Order)*0</f>
        <v>0</v>
      </c>
      <c r="AM191" s="419">
        <f>(1+Sensitivity_FE_Order)*0</f>
        <v>0</v>
      </c>
      <c r="AN191" s="419">
        <f>(1+Sensitivity_FE_Order)*0</f>
        <v>0</v>
      </c>
      <c r="AO191" s="419">
        <f>(1+Sensitivity_FE_Order)*0</f>
        <v>0</v>
      </c>
      <c r="AP191" s="264"/>
      <c r="AQ191" s="264"/>
      <c r="AR191" s="553" t="s">
        <v>208</v>
      </c>
      <c r="AS191" s="424"/>
      <c r="AT191" s="374">
        <v>0.35</v>
      </c>
      <c r="AU191" s="263"/>
      <c r="AV191" s="419">
        <f>(1+Sensitivity_FE_Order)*((Complex_Process_Effort*(1+PM_Overhead)*$AT191))</f>
        <v>23.099999999999998</v>
      </c>
      <c r="AW191" s="419">
        <f>(1+Sensitivity_FE_Order)*((Complex_Process_Effort*(1+PM_Overhead)*$AT191))</f>
        <v>23.099999999999998</v>
      </c>
      <c r="AX191" s="419">
        <f>(1+Sensitivity_FE_Order)*((Complex_Process_Effort*(1+PM_Overhead)*$AT191))</f>
        <v>23.099999999999998</v>
      </c>
      <c r="AY191" s="419">
        <f>(1+Sensitivity_FE_Order)*((Complex_Process_Effort*(1+PM_Overhead)*$AT191))</f>
        <v>23.099999999999998</v>
      </c>
      <c r="AZ191" s="419">
        <f>(1+Sensitivity_FE_Order)*0</f>
        <v>0</v>
      </c>
      <c r="BA191" s="419">
        <f>(1+Sensitivity_FE_Order)*0</f>
        <v>0</v>
      </c>
      <c r="BB191" s="419">
        <f>(1+Sensitivity_FE_Order)*((Complex_Process_Effort*(1+PM_Overhead)*$AT191))*TierC_TierB_ratio</f>
        <v>11.549999999999999</v>
      </c>
      <c r="BC191" s="419">
        <f>(1+Sensitivity_FE_Order)*0</f>
        <v>0</v>
      </c>
      <c r="BD191" s="419">
        <f>BB191</f>
        <v>11.549999999999999</v>
      </c>
      <c r="BE191" s="264"/>
      <c r="BF191" s="553" t="s">
        <v>208</v>
      </c>
      <c r="BG191" s="424"/>
      <c r="BH191" s="374">
        <v>0.35</v>
      </c>
      <c r="BI191" s="263"/>
      <c r="BJ191" s="419">
        <f>(1+Sensitivity_FE_Order)*((Complex_Process_Effort*(1+PM_Overhead)*$BH191))</f>
        <v>23.099999999999998</v>
      </c>
      <c r="BK191" s="419">
        <f>(1+Sensitivity_FE_Order)*((Complex_Process_Effort*(1+PM_Overhead)*$BH191))</f>
        <v>23.099999999999998</v>
      </c>
      <c r="BL191" s="419">
        <f>(1+Sensitivity_FE_Order)*((Complex_Process_Effort*(1+PM_Overhead)*$BH191))</f>
        <v>23.099999999999998</v>
      </c>
      <c r="BM191" s="419">
        <f>(1+Sensitivity_FE_Order)*((Complex_Process_Effort*(1+PM_Overhead)*$BH191))</f>
        <v>23.099999999999998</v>
      </c>
      <c r="BN191" s="419">
        <f>(1+Sensitivity_FE_Order)*0</f>
        <v>0</v>
      </c>
      <c r="BO191" s="419">
        <f>(1+Sensitivity_FE_Order)*0</f>
        <v>0</v>
      </c>
      <c r="BP191" s="419">
        <f>(1+Sensitivity_FE_Order)*((Complex_Process_Effort*(1+PM_Overhead)*$BH191))*TierC_TierB_ratio</f>
        <v>11.549999999999999</v>
      </c>
      <c r="BQ191" s="419">
        <f>(1+Sensitivity_FE_Order)*0</f>
        <v>0</v>
      </c>
      <c r="BR191" s="419">
        <f>BP191</f>
        <v>11.549999999999999</v>
      </c>
      <c r="BS191" s="263"/>
    </row>
    <row r="192" spans="1:71" ht="24" customHeight="1" outlineLevel="1" x14ac:dyDescent="0.2">
      <c r="A192" s="312"/>
      <c r="B192" s="437" t="s">
        <v>108</v>
      </c>
      <c r="C192" s="171" t="s">
        <v>171</v>
      </c>
      <c r="D192" s="432" t="s">
        <v>109</v>
      </c>
      <c r="E192" s="426" t="s">
        <v>149</v>
      </c>
      <c r="F192" s="422" t="s">
        <v>49</v>
      </c>
      <c r="G192" s="426" t="s">
        <v>47</v>
      </c>
      <c r="H192" s="552" t="s">
        <v>118</v>
      </c>
      <c r="I192" s="748"/>
      <c r="J192" s="424"/>
      <c r="K192" s="424"/>
      <c r="L192" s="424"/>
      <c r="M192" s="424"/>
      <c r="N192" s="264"/>
      <c r="O192" s="442"/>
      <c r="P192" s="264"/>
      <c r="Q192" s="264"/>
      <c r="R192" s="264"/>
      <c r="S192" s="374">
        <v>0.2</v>
      </c>
      <c r="T192" s="374">
        <v>0.2</v>
      </c>
      <c r="U192" s="374">
        <v>0.2</v>
      </c>
      <c r="V192" s="374">
        <v>0.2</v>
      </c>
      <c r="W192" s="374">
        <v>0.2</v>
      </c>
      <c r="X192" s="374">
        <v>0.2</v>
      </c>
      <c r="Y192" s="374">
        <v>0.2</v>
      </c>
      <c r="Z192" s="374">
        <v>0.2</v>
      </c>
      <c r="AA192" s="374">
        <v>0.2</v>
      </c>
      <c r="AB192" s="264"/>
      <c r="AC192" s="442"/>
      <c r="AD192" s="424"/>
      <c r="AE192" s="264"/>
      <c r="AF192" s="263"/>
      <c r="AG192" s="374">
        <v>0.2</v>
      </c>
      <c r="AH192" s="374">
        <v>0.2</v>
      </c>
      <c r="AI192" s="374">
        <v>0.2</v>
      </c>
      <c r="AJ192" s="374">
        <v>0.2</v>
      </c>
      <c r="AK192" s="374">
        <v>0.2</v>
      </c>
      <c r="AL192" s="374">
        <v>0.2</v>
      </c>
      <c r="AM192" s="374">
        <v>0.2</v>
      </c>
      <c r="AN192" s="374">
        <v>0.2</v>
      </c>
      <c r="AO192" s="374">
        <v>0.2</v>
      </c>
      <c r="AP192" s="264"/>
      <c r="AQ192" s="264"/>
      <c r="AR192" s="442"/>
      <c r="AS192" s="424"/>
      <c r="AT192" s="264"/>
      <c r="AU192" s="263"/>
      <c r="AV192" s="374">
        <v>0.2</v>
      </c>
      <c r="AW192" s="374">
        <v>0.2</v>
      </c>
      <c r="AX192" s="374">
        <v>0.2</v>
      </c>
      <c r="AY192" s="374">
        <v>0.2</v>
      </c>
      <c r="AZ192" s="374">
        <v>0.2</v>
      </c>
      <c r="BA192" s="374">
        <v>0.2</v>
      </c>
      <c r="BB192" s="374">
        <v>0.2</v>
      </c>
      <c r="BC192" s="374">
        <v>0.2</v>
      </c>
      <c r="BD192" s="374">
        <v>0.2</v>
      </c>
      <c r="BE192" s="264"/>
      <c r="BF192" s="442"/>
      <c r="BG192" s="424"/>
      <c r="BH192" s="264"/>
      <c r="BI192" s="263"/>
      <c r="BJ192" s="374">
        <v>0.2</v>
      </c>
      <c r="BK192" s="374">
        <v>0.2</v>
      </c>
      <c r="BL192" s="374">
        <v>0.2</v>
      </c>
      <c r="BM192" s="374">
        <v>0.2</v>
      </c>
      <c r="BN192" s="374">
        <v>0.2</v>
      </c>
      <c r="BO192" s="374">
        <v>0.2</v>
      </c>
      <c r="BP192" s="374">
        <v>0.2</v>
      </c>
      <c r="BQ192" s="374">
        <v>0.2</v>
      </c>
      <c r="BR192" s="374">
        <v>0.2</v>
      </c>
      <c r="BS192" s="263"/>
    </row>
    <row r="193" spans="1:71" ht="24" customHeight="1" outlineLevel="1" x14ac:dyDescent="0.2">
      <c r="A193" s="400"/>
      <c r="B193" s="437" t="s">
        <v>108</v>
      </c>
      <c r="C193" s="171" t="s">
        <v>171</v>
      </c>
      <c r="D193" s="432" t="s">
        <v>109</v>
      </c>
      <c r="E193" s="426" t="s">
        <v>149</v>
      </c>
      <c r="F193" s="422" t="s">
        <v>51</v>
      </c>
      <c r="G193" s="426" t="s">
        <v>50</v>
      </c>
      <c r="H193" s="552" t="s">
        <v>117</v>
      </c>
      <c r="I193" s="748"/>
      <c r="J193" s="424"/>
      <c r="K193" s="424"/>
      <c r="L193" s="424"/>
      <c r="M193" s="424"/>
      <c r="N193" s="93"/>
      <c r="O193" s="553"/>
      <c r="P193" s="93"/>
      <c r="Q193" s="374">
        <v>0.2</v>
      </c>
      <c r="R193" s="93"/>
      <c r="S193" s="419">
        <f>(1+Sensitivity_FE_Order)*Training_Duration*$Q193</f>
        <v>0.4</v>
      </c>
      <c r="T193" s="419">
        <f>(1+Sensitivity_FE_Order)*Training_Duration*$Q193</f>
        <v>0.4</v>
      </c>
      <c r="U193" s="419">
        <f>(1+Sensitivity_FE_Order)*Training_Duration*$Q193</f>
        <v>0.4</v>
      </c>
      <c r="V193" s="419">
        <f>(1+Sensitivity_FE_Order)*Training_Duration*$Q193</f>
        <v>0.4</v>
      </c>
      <c r="W193" s="419">
        <f>(1+Sensitivity_FE_Order)*0</f>
        <v>0</v>
      </c>
      <c r="X193" s="419">
        <f>(1+Sensitivity_FE_Order)*0</f>
        <v>0</v>
      </c>
      <c r="Y193" s="419">
        <f>(1+Sensitivity_FE_Order)*Training_Duration*$Q193</f>
        <v>0.4</v>
      </c>
      <c r="Z193" s="419">
        <f>(1+Sensitivity_FE_Order)*Training_Duration*$Q193</f>
        <v>0.4</v>
      </c>
      <c r="AA193" s="419">
        <f>(1+Sensitivity_FE_Order)*0</f>
        <v>0</v>
      </c>
      <c r="AB193" s="93"/>
      <c r="AC193" s="553"/>
      <c r="AD193" s="424"/>
      <c r="AE193" s="374">
        <v>0.2</v>
      </c>
      <c r="AF193" s="158"/>
      <c r="AG193" s="419">
        <f>(1+Sensitivity_FE_Order)*Training_Duration*$AE193</f>
        <v>0.4</v>
      </c>
      <c r="AH193" s="419">
        <f>(1+Sensitivity_FE_Order)*Training_Duration*$AE193</f>
        <v>0.4</v>
      </c>
      <c r="AI193" s="419">
        <f>(1+Sensitivity_FE_Order)*Training_Duration*$AE193</f>
        <v>0.4</v>
      </c>
      <c r="AJ193" s="419">
        <f>(1+Sensitivity_FE_Order)*Training_Duration*$AE193</f>
        <v>0.4</v>
      </c>
      <c r="AK193" s="419">
        <f>(1+Sensitivity_FE_Order)*0</f>
        <v>0</v>
      </c>
      <c r="AL193" s="419">
        <f>(1+Sensitivity_FE_Order)*0</f>
        <v>0</v>
      </c>
      <c r="AM193" s="419">
        <f>(1+Sensitivity_FE_Order)*Training_Duration*$AE193</f>
        <v>0.4</v>
      </c>
      <c r="AN193" s="419">
        <f>(1+Sensitivity_FE_Order)*Training_Duration*$AE193</f>
        <v>0.4</v>
      </c>
      <c r="AO193" s="419">
        <f>(1+Sensitivity_FE_Order)*0</f>
        <v>0</v>
      </c>
      <c r="AP193" s="264"/>
      <c r="AQ193" s="264"/>
      <c r="AR193" s="553"/>
      <c r="AS193" s="424"/>
      <c r="AT193" s="374">
        <v>0.2</v>
      </c>
      <c r="AU193" s="158"/>
      <c r="AV193" s="419">
        <f>(1+Sensitivity_FE_Order)*Training_Duration*$AT193</f>
        <v>0.4</v>
      </c>
      <c r="AW193" s="419">
        <f>(1+Sensitivity_FE_Order)*Training_Duration*$AT193</f>
        <v>0.4</v>
      </c>
      <c r="AX193" s="419">
        <f>(1+Sensitivity_FE_Order)*Training_Duration*$AT193</f>
        <v>0.4</v>
      </c>
      <c r="AY193" s="419">
        <f>(1+Sensitivity_FE_Order)*Training_Duration*$AT193</f>
        <v>0.4</v>
      </c>
      <c r="AZ193" s="419">
        <f>(1+Sensitivity_FE_Order)*0</f>
        <v>0</v>
      </c>
      <c r="BA193" s="419">
        <f>(1+Sensitivity_FE_Order)*0</f>
        <v>0</v>
      </c>
      <c r="BB193" s="419">
        <f>(1+Sensitivity_FE_Order)*Training_Duration*$AT193</f>
        <v>0.4</v>
      </c>
      <c r="BC193" s="419">
        <f>(1+Sensitivity_FE_Order)*Training_Duration*$AT193</f>
        <v>0.4</v>
      </c>
      <c r="BD193" s="419">
        <f>(1+Sensitivity_FE_Order)*0</f>
        <v>0</v>
      </c>
      <c r="BE193" s="264"/>
      <c r="BF193" s="553"/>
      <c r="BG193" s="424"/>
      <c r="BH193" s="374">
        <v>0.2</v>
      </c>
      <c r="BI193" s="158"/>
      <c r="BJ193" s="419">
        <f>(1+Sensitivity_FE_Order)*Training_Duration*$BH193</f>
        <v>0.4</v>
      </c>
      <c r="BK193" s="419">
        <f>(1+Sensitivity_FE_Order)*Training_Duration*$BH193</f>
        <v>0.4</v>
      </c>
      <c r="BL193" s="419">
        <f>(1+Sensitivity_FE_Order)*Training_Duration*$BH193</f>
        <v>0.4</v>
      </c>
      <c r="BM193" s="419">
        <f>(1+Sensitivity_FE_Order)*Training_Duration*$BH193</f>
        <v>0.4</v>
      </c>
      <c r="BN193" s="419">
        <f>(1+Sensitivity_FE_Order)*0</f>
        <v>0</v>
      </c>
      <c r="BO193" s="419">
        <f>(1+Sensitivity_FE_Order)*0</f>
        <v>0</v>
      </c>
      <c r="BP193" s="419">
        <f>(1+Sensitivity_FE_Order)*Training_Duration*$BH193</f>
        <v>0.4</v>
      </c>
      <c r="BQ193" s="419">
        <f>(1+Sensitivity_FE_Order)*Training_Duration*$BH193</f>
        <v>0.4</v>
      </c>
      <c r="BR193" s="419">
        <f>(1+Sensitivity_FE_Order)*0</f>
        <v>0</v>
      </c>
      <c r="BS193" s="263"/>
    </row>
    <row r="194" spans="1:71" ht="24" customHeight="1" outlineLevel="1" x14ac:dyDescent="0.2">
      <c r="A194" s="400"/>
      <c r="B194" s="437" t="s">
        <v>108</v>
      </c>
      <c r="C194" s="171" t="s">
        <v>171</v>
      </c>
      <c r="D194" s="432" t="s">
        <v>109</v>
      </c>
      <c r="E194" s="426" t="s">
        <v>149</v>
      </c>
      <c r="F194" s="422" t="s">
        <v>48</v>
      </c>
      <c r="G194" s="426" t="s">
        <v>50</v>
      </c>
      <c r="H194" s="552" t="s">
        <v>181</v>
      </c>
      <c r="I194" s="749"/>
      <c r="J194" s="424"/>
      <c r="K194" s="424"/>
      <c r="L194" s="424"/>
      <c r="M194" s="424"/>
      <c r="N194" s="264"/>
      <c r="O194" s="554" t="s">
        <v>218</v>
      </c>
      <c r="P194" s="264"/>
      <c r="Q194" s="264"/>
      <c r="R194" s="264"/>
      <c r="S194" s="419">
        <v>0</v>
      </c>
      <c r="T194" s="419">
        <v>0</v>
      </c>
      <c r="U194" s="419">
        <v>0</v>
      </c>
      <c r="V194" s="419">
        <v>0</v>
      </c>
      <c r="W194" s="419">
        <v>0</v>
      </c>
      <c r="X194" s="419">
        <v>0</v>
      </c>
      <c r="Y194" s="419">
        <v>0</v>
      </c>
      <c r="Z194" s="419">
        <v>0</v>
      </c>
      <c r="AA194" s="419">
        <v>0</v>
      </c>
      <c r="AB194" s="93"/>
      <c r="AC194" s="554" t="s">
        <v>218</v>
      </c>
      <c r="AD194" s="424"/>
      <c r="AE194" s="264"/>
      <c r="AF194" s="263"/>
      <c r="AG194" s="419">
        <v>0</v>
      </c>
      <c r="AH194" s="419">
        <v>0</v>
      </c>
      <c r="AI194" s="419">
        <v>0</v>
      </c>
      <c r="AJ194" s="419">
        <v>0</v>
      </c>
      <c r="AK194" s="419">
        <v>0</v>
      </c>
      <c r="AL194" s="419">
        <v>0</v>
      </c>
      <c r="AM194" s="419">
        <v>0</v>
      </c>
      <c r="AN194" s="419">
        <v>0</v>
      </c>
      <c r="AO194" s="419">
        <v>0</v>
      </c>
      <c r="AP194" s="264"/>
      <c r="AQ194" s="264"/>
      <c r="AR194" s="554" t="s">
        <v>218</v>
      </c>
      <c r="AS194" s="424"/>
      <c r="AT194" s="264"/>
      <c r="AU194" s="263"/>
      <c r="AV194" s="419">
        <v>0</v>
      </c>
      <c r="AW194" s="419">
        <v>0</v>
      </c>
      <c r="AX194" s="419">
        <v>0</v>
      </c>
      <c r="AY194" s="419">
        <v>0</v>
      </c>
      <c r="AZ194" s="419">
        <v>0</v>
      </c>
      <c r="BA194" s="419">
        <v>0</v>
      </c>
      <c r="BB194" s="419">
        <v>0</v>
      </c>
      <c r="BC194" s="419">
        <v>0</v>
      </c>
      <c r="BD194" s="419">
        <v>0</v>
      </c>
      <c r="BE194" s="264"/>
      <c r="BF194" s="554" t="s">
        <v>218</v>
      </c>
      <c r="BG194" s="424"/>
      <c r="BH194" s="264"/>
      <c r="BI194" s="263"/>
      <c r="BJ194" s="419">
        <v>0</v>
      </c>
      <c r="BK194" s="419">
        <v>0</v>
      </c>
      <c r="BL194" s="419">
        <v>0</v>
      </c>
      <c r="BM194" s="419">
        <v>0</v>
      </c>
      <c r="BN194" s="419">
        <v>0</v>
      </c>
      <c r="BO194" s="419">
        <v>0</v>
      </c>
      <c r="BP194" s="419">
        <v>0</v>
      </c>
      <c r="BQ194" s="419">
        <v>0</v>
      </c>
      <c r="BR194" s="419">
        <v>0</v>
      </c>
      <c r="BS194" s="263"/>
    </row>
    <row r="195" spans="1:71" ht="24" customHeight="1" outlineLevel="1" x14ac:dyDescent="0.2">
      <c r="A195" s="312"/>
      <c r="B195" s="546" t="s">
        <v>108</v>
      </c>
      <c r="C195" s="547" t="s">
        <v>171</v>
      </c>
      <c r="D195" s="515" t="s">
        <v>109</v>
      </c>
      <c r="E195" s="438" t="s">
        <v>150</v>
      </c>
      <c r="F195" s="414" t="s">
        <v>51</v>
      </c>
      <c r="G195" s="413" t="s">
        <v>50</v>
      </c>
      <c r="H195" s="511" t="s">
        <v>214</v>
      </c>
      <c r="I195" s="744" t="s">
        <v>238</v>
      </c>
      <c r="J195" s="407"/>
      <c r="K195" s="440"/>
      <c r="L195" s="440"/>
      <c r="M195" s="440"/>
      <c r="N195" s="264"/>
      <c r="O195" s="515" t="s">
        <v>206</v>
      </c>
      <c r="P195" s="264"/>
      <c r="Q195" s="374">
        <v>0.1</v>
      </c>
      <c r="R195" s="264"/>
      <c r="S195" s="419">
        <f>(1+Sensitivity_FE_Order)*(Complex_Process_Effort*(1+PM_Overhead)*$Q195)</f>
        <v>6.6000000000000005</v>
      </c>
      <c r="T195" s="419">
        <f>(1+Sensitivity_FE_Order)*(Complex_Process_Effort*(1+PM_Overhead)*$Q195)</f>
        <v>6.6000000000000005</v>
      </c>
      <c r="U195" s="419">
        <f>(1+Sensitivity_FE_Order)*(Complex_Process_Effort*(1+PM_Overhead)*$Q195)</f>
        <v>6.6000000000000005</v>
      </c>
      <c r="V195" s="419">
        <f>(1+Sensitivity_FE_Order)*(Complex_Process_Effort*(1+PM_Overhead)*$Q195)</f>
        <v>6.6000000000000005</v>
      </c>
      <c r="W195" s="419">
        <f>(1+Sensitivity_FE_Order)*0</f>
        <v>0</v>
      </c>
      <c r="X195" s="419">
        <f>(1+Sensitivity_FE_Order)*0</f>
        <v>0</v>
      </c>
      <c r="Y195" s="419">
        <f>(1+Sensitivity_FE_Order)*(Complex_Process_Effort*(1+PM_Overhead)*$Q195)*TierC_TierB_ratio</f>
        <v>3.3000000000000003</v>
      </c>
      <c r="Z195" s="419">
        <f>(1+Sensitivity_FE_Order)*0</f>
        <v>0</v>
      </c>
      <c r="AA195" s="419">
        <f>Y195</f>
        <v>3.3000000000000003</v>
      </c>
      <c r="AB195" s="264"/>
      <c r="AC195" s="515" t="s">
        <v>206</v>
      </c>
      <c r="AD195" s="440"/>
      <c r="AE195" s="374">
        <v>0.1</v>
      </c>
      <c r="AF195" s="263"/>
      <c r="AG195" s="419">
        <f>(1+Sensitivity_FE_Order)*(Complex_Process_Effort*(1+PM_Overhead)*$Q195)</f>
        <v>6.6000000000000005</v>
      </c>
      <c r="AH195" s="419">
        <f>(1+Sensitivity_FE_Order)*(Complex_Process_Effort*(1+PM_Overhead)*$Q195)</f>
        <v>6.6000000000000005</v>
      </c>
      <c r="AI195" s="419">
        <f>(1+Sensitivity_FE_Order)*(Complex_Process_Effort*(1+PM_Overhead)*$Q195)</f>
        <v>6.6000000000000005</v>
      </c>
      <c r="AJ195" s="419">
        <f>(1+Sensitivity_FE_Order)*(Complex_Process_Effort*(1+PM_Overhead)*$Q195)</f>
        <v>6.6000000000000005</v>
      </c>
      <c r="AK195" s="419">
        <f>(1+Sensitivity_FE_Order)*0</f>
        <v>0</v>
      </c>
      <c r="AL195" s="419">
        <f>(1+Sensitivity_FE_Order)*0</f>
        <v>0</v>
      </c>
      <c r="AM195" s="419">
        <f>(1+Sensitivity_FE_Order)*(Complex_Process_Effort*(1+PM_Overhead)*$Q195)*TierC_TierB_ratio</f>
        <v>3.3000000000000003</v>
      </c>
      <c r="AN195" s="419">
        <f>(1+Sensitivity_FE_Order)*0</f>
        <v>0</v>
      </c>
      <c r="AO195" s="419">
        <f>AM195</f>
        <v>3.3000000000000003</v>
      </c>
      <c r="AP195" s="264"/>
      <c r="AQ195" s="264"/>
      <c r="AR195" s="514" t="s">
        <v>206</v>
      </c>
      <c r="AS195" s="440"/>
      <c r="AT195" s="374">
        <v>0.1</v>
      </c>
      <c r="AU195" s="263"/>
      <c r="AV195" s="419">
        <f>(1+Sensitivity_FE_Order)*((Complex_Process_Effort*(1+PM_Overhead)*$AT195))</f>
        <v>6.6000000000000005</v>
      </c>
      <c r="AW195" s="419">
        <f>(1+Sensitivity_FE_Order)*((Complex_Process_Effort*(1+PM_Overhead)*$AT195))</f>
        <v>6.6000000000000005</v>
      </c>
      <c r="AX195" s="419">
        <f>(1+Sensitivity_FE_Order)*((Complex_Process_Effort*(1+PM_Overhead)*$AT195))</f>
        <v>6.6000000000000005</v>
      </c>
      <c r="AY195" s="419">
        <f>(1+Sensitivity_FE_Order)*((Complex_Process_Effort*(1+PM_Overhead)*$AT195))</f>
        <v>6.6000000000000005</v>
      </c>
      <c r="AZ195" s="419">
        <f>(1+Sensitivity_FE_Order)*0</f>
        <v>0</v>
      </c>
      <c r="BA195" s="419">
        <f>AY195</f>
        <v>6.6000000000000005</v>
      </c>
      <c r="BB195" s="419">
        <f>(1+Sensitivity_FE_Order)*((Complex_Process_Effort*(1+PM_Overhead)*$AT195))*TierC_TierB_ratio</f>
        <v>3.3000000000000003</v>
      </c>
      <c r="BC195" s="419">
        <f>(1+Sensitivity_FE_Order)*0</f>
        <v>0</v>
      </c>
      <c r="BD195" s="419">
        <f>BB195</f>
        <v>3.3000000000000003</v>
      </c>
      <c r="BE195" s="264"/>
      <c r="BF195" s="514" t="s">
        <v>206</v>
      </c>
      <c r="BG195" s="440"/>
      <c r="BH195" s="374">
        <v>0.1</v>
      </c>
      <c r="BI195" s="263"/>
      <c r="BJ195" s="419">
        <f>(1+Sensitivity_FE_Order)*((Complex_Process_Effort*(1+PM_Overhead)*$BH195))</f>
        <v>6.6000000000000005</v>
      </c>
      <c r="BK195" s="419">
        <f>(1+Sensitivity_FE_Order)*((Complex_Process_Effort*(1+PM_Overhead)*$BH195))</f>
        <v>6.6000000000000005</v>
      </c>
      <c r="BL195" s="419">
        <f>(1+Sensitivity_FE_Order)*((Complex_Process_Effort*(1+PM_Overhead)*$BH195))</f>
        <v>6.6000000000000005</v>
      </c>
      <c r="BM195" s="419">
        <f>(1+Sensitivity_FE_Order)*((Complex_Process_Effort*(1+PM_Overhead)*$BH195))</f>
        <v>6.6000000000000005</v>
      </c>
      <c r="BN195" s="419">
        <f>(1+Sensitivity_FE_Order)*0</f>
        <v>0</v>
      </c>
      <c r="BO195" s="419">
        <v>0</v>
      </c>
      <c r="BP195" s="419">
        <f>(1+Sensitivity_FE_Order)*((Complex_Process_Effort*(1+PM_Overhead)*$BH195))*TierC_TierB_ratio</f>
        <v>3.3000000000000003</v>
      </c>
      <c r="BQ195" s="419">
        <f>(1+Sensitivity_FE_Order)*0</f>
        <v>0</v>
      </c>
      <c r="BR195" s="419">
        <f>BP195</f>
        <v>3.3000000000000003</v>
      </c>
      <c r="BS195" s="263"/>
    </row>
    <row r="196" spans="1:71" ht="24" customHeight="1" outlineLevel="1" x14ac:dyDescent="0.2">
      <c r="A196" s="312"/>
      <c r="B196" s="546" t="s">
        <v>108</v>
      </c>
      <c r="C196" s="547" t="s">
        <v>171</v>
      </c>
      <c r="D196" s="515" t="s">
        <v>109</v>
      </c>
      <c r="E196" s="438" t="s">
        <v>150</v>
      </c>
      <c r="F196" s="414" t="s">
        <v>49</v>
      </c>
      <c r="G196" s="413" t="s">
        <v>47</v>
      </c>
      <c r="H196" s="511" t="s">
        <v>118</v>
      </c>
      <c r="I196" s="745"/>
      <c r="J196" s="407"/>
      <c r="K196" s="440"/>
      <c r="L196" s="440"/>
      <c r="M196" s="440"/>
      <c r="N196" s="264"/>
      <c r="O196" s="515"/>
      <c r="P196" s="264"/>
      <c r="Q196" s="264"/>
      <c r="R196" s="264"/>
      <c r="S196" s="374">
        <v>0.2</v>
      </c>
      <c r="T196" s="374">
        <v>0.2</v>
      </c>
      <c r="U196" s="374">
        <v>0.2</v>
      </c>
      <c r="V196" s="374">
        <v>0.2</v>
      </c>
      <c r="W196" s="374">
        <v>0.2</v>
      </c>
      <c r="X196" s="374">
        <v>0.2</v>
      </c>
      <c r="Y196" s="374">
        <v>0.2</v>
      </c>
      <c r="Z196" s="374">
        <v>0.2</v>
      </c>
      <c r="AA196" s="374">
        <v>0.2</v>
      </c>
      <c r="AB196" s="264"/>
      <c r="AC196" s="515"/>
      <c r="AD196" s="440"/>
      <c r="AE196" s="264"/>
      <c r="AF196" s="263"/>
      <c r="AG196" s="374">
        <v>0.2</v>
      </c>
      <c r="AH196" s="374">
        <v>0.2</v>
      </c>
      <c r="AI196" s="374">
        <v>0.2</v>
      </c>
      <c r="AJ196" s="374">
        <v>0.2</v>
      </c>
      <c r="AK196" s="374">
        <v>0.2</v>
      </c>
      <c r="AL196" s="374">
        <v>0.2</v>
      </c>
      <c r="AM196" s="374">
        <v>0.2</v>
      </c>
      <c r="AN196" s="374">
        <v>0.2</v>
      </c>
      <c r="AO196" s="374">
        <v>0.2</v>
      </c>
      <c r="AP196" s="264"/>
      <c r="AQ196" s="264"/>
      <c r="AR196" s="515"/>
      <c r="AS196" s="440"/>
      <c r="AT196" s="264"/>
      <c r="AU196" s="263"/>
      <c r="AV196" s="374">
        <v>0.2</v>
      </c>
      <c r="AW196" s="374">
        <v>0.2</v>
      </c>
      <c r="AX196" s="374">
        <v>0.2</v>
      </c>
      <c r="AY196" s="374">
        <v>0.2</v>
      </c>
      <c r="AZ196" s="374">
        <v>0.2</v>
      </c>
      <c r="BA196" s="374">
        <v>0.2</v>
      </c>
      <c r="BB196" s="374">
        <v>0.2</v>
      </c>
      <c r="BC196" s="374">
        <v>0.2</v>
      </c>
      <c r="BD196" s="374">
        <v>0.2</v>
      </c>
      <c r="BE196" s="264"/>
      <c r="BF196" s="515"/>
      <c r="BG196" s="440"/>
      <c r="BH196" s="264"/>
      <c r="BI196" s="263"/>
      <c r="BJ196" s="374">
        <v>0.2</v>
      </c>
      <c r="BK196" s="374">
        <v>0.2</v>
      </c>
      <c r="BL196" s="374">
        <v>0.2</v>
      </c>
      <c r="BM196" s="374">
        <v>0.2</v>
      </c>
      <c r="BN196" s="374">
        <v>0.2</v>
      </c>
      <c r="BO196" s="374">
        <v>0.2</v>
      </c>
      <c r="BP196" s="374">
        <v>0.2</v>
      </c>
      <c r="BQ196" s="374">
        <v>0.2</v>
      </c>
      <c r="BR196" s="374">
        <v>0.2</v>
      </c>
      <c r="BS196" s="263"/>
    </row>
    <row r="197" spans="1:71" ht="24" customHeight="1" outlineLevel="1" x14ac:dyDescent="0.2">
      <c r="A197" s="312"/>
      <c r="B197" s="546" t="s">
        <v>108</v>
      </c>
      <c r="C197" s="547" t="s">
        <v>171</v>
      </c>
      <c r="D197" s="515" t="s">
        <v>109</v>
      </c>
      <c r="E197" s="438" t="s">
        <v>150</v>
      </c>
      <c r="F197" s="414" t="s">
        <v>51</v>
      </c>
      <c r="G197" s="413" t="s">
        <v>50</v>
      </c>
      <c r="H197" s="511" t="s">
        <v>117</v>
      </c>
      <c r="I197" s="745"/>
      <c r="J197" s="407"/>
      <c r="K197" s="440"/>
      <c r="L197" s="440"/>
      <c r="M197" s="440"/>
      <c r="N197" s="264"/>
      <c r="O197" s="515"/>
      <c r="P197" s="264"/>
      <c r="Q197" s="374">
        <v>0.2</v>
      </c>
      <c r="R197" s="264"/>
      <c r="S197" s="419">
        <f>(1+Sensitivity_FE_Order)*Training_Duration*$Q197</f>
        <v>0.4</v>
      </c>
      <c r="T197" s="419">
        <f>(1+Sensitivity_FE_Order)*Training_Duration*$Q197</f>
        <v>0.4</v>
      </c>
      <c r="U197" s="419">
        <f>(1+Sensitivity_FE_Order)*Training_Duration*$Q197</f>
        <v>0.4</v>
      </c>
      <c r="V197" s="419">
        <f>(1+Sensitivity_FE_Order)*Training_Duration*$Q197</f>
        <v>0.4</v>
      </c>
      <c r="W197" s="419">
        <f>(1+Sensitivity_FE_Order)*0</f>
        <v>0</v>
      </c>
      <c r="X197" s="419">
        <f>(1+Sensitivity_FE_Order)*0</f>
        <v>0</v>
      </c>
      <c r="Y197" s="419">
        <f>(1+Sensitivity_FE_Order)*Training_Duration*$Q197</f>
        <v>0.4</v>
      </c>
      <c r="Z197" s="419">
        <f>(1+Sensitivity_FE_Order)*Training_Duration*$Q197</f>
        <v>0.4</v>
      </c>
      <c r="AA197" s="419">
        <f>(1+Sensitivity_FE_Order)*0</f>
        <v>0</v>
      </c>
      <c r="AB197" s="264"/>
      <c r="AC197" s="515"/>
      <c r="AD197" s="440"/>
      <c r="AE197" s="374">
        <v>0.2</v>
      </c>
      <c r="AF197" s="263"/>
      <c r="AG197" s="419">
        <f>(1+Sensitivity_FE_Order)*Training_Duration*$AE197</f>
        <v>0.4</v>
      </c>
      <c r="AH197" s="419">
        <f>(1+Sensitivity_FE_Order)*Training_Duration*$AE197</f>
        <v>0.4</v>
      </c>
      <c r="AI197" s="419">
        <f>(1+Sensitivity_FE_Order)*Training_Duration*$AE197</f>
        <v>0.4</v>
      </c>
      <c r="AJ197" s="419">
        <f>(1+Sensitivity_FE_Order)*Training_Duration*$AE197</f>
        <v>0.4</v>
      </c>
      <c r="AK197" s="419">
        <f>(1+Sensitivity_FE_Order)*0</f>
        <v>0</v>
      </c>
      <c r="AL197" s="419">
        <f>(1+Sensitivity_FE_Order)*0</f>
        <v>0</v>
      </c>
      <c r="AM197" s="419">
        <f>(1+Sensitivity_FE_Order)*Training_Duration*$AE197</f>
        <v>0.4</v>
      </c>
      <c r="AN197" s="419">
        <f>(1+Sensitivity_FE_Order)*Training_Duration*$AE197</f>
        <v>0.4</v>
      </c>
      <c r="AO197" s="419">
        <f>(1+Sensitivity_FE_Order)*0</f>
        <v>0</v>
      </c>
      <c r="AP197" s="264"/>
      <c r="AQ197" s="264"/>
      <c r="AR197" s="515"/>
      <c r="AS197" s="440"/>
      <c r="AT197" s="374">
        <v>0.2</v>
      </c>
      <c r="AU197" s="263"/>
      <c r="AV197" s="419">
        <f>(1+Sensitivity_FE_Order)*Training_Duration*$AT197</f>
        <v>0.4</v>
      </c>
      <c r="AW197" s="419">
        <f>(1+Sensitivity_FE_Order)*Training_Duration*$AT197</f>
        <v>0.4</v>
      </c>
      <c r="AX197" s="419">
        <f>(1+Sensitivity_FE_Order)*Training_Duration*$AT197</f>
        <v>0.4</v>
      </c>
      <c r="AY197" s="419">
        <f>(1+Sensitivity_FE_Order)*Training_Duration*$AT197</f>
        <v>0.4</v>
      </c>
      <c r="AZ197" s="419">
        <f>(1+Sensitivity_FE_Order)*0</f>
        <v>0</v>
      </c>
      <c r="BA197" s="419">
        <f>(1+Sensitivity_FE_Order)*0</f>
        <v>0</v>
      </c>
      <c r="BB197" s="419">
        <f>(1+Sensitivity_FE_Order)*Training_Duration*$AT197</f>
        <v>0.4</v>
      </c>
      <c r="BC197" s="419">
        <f>(1+Sensitivity_FE_Order)*Training_Duration*$AT197</f>
        <v>0.4</v>
      </c>
      <c r="BD197" s="419">
        <f>(1+Sensitivity_FE_Order)*0</f>
        <v>0</v>
      </c>
      <c r="BE197" s="264"/>
      <c r="BF197" s="515"/>
      <c r="BG197" s="440"/>
      <c r="BH197" s="374">
        <v>0.2</v>
      </c>
      <c r="BI197" s="263"/>
      <c r="BJ197" s="419">
        <f>(1+Sensitivity_FE_Order)*Training_Duration*$BH197</f>
        <v>0.4</v>
      </c>
      <c r="BK197" s="419">
        <f>(1+Sensitivity_FE_Order)*Training_Duration*$BH197</f>
        <v>0.4</v>
      </c>
      <c r="BL197" s="419">
        <f>(1+Sensitivity_FE_Order)*Training_Duration*$BH197</f>
        <v>0.4</v>
      </c>
      <c r="BM197" s="419">
        <f>(1+Sensitivity_FE_Order)*Training_Duration*$BH197</f>
        <v>0.4</v>
      </c>
      <c r="BN197" s="419">
        <f>(1+Sensitivity_FE_Order)*0</f>
        <v>0</v>
      </c>
      <c r="BO197" s="419">
        <f>(1+Sensitivity_FE_Order)*0</f>
        <v>0</v>
      </c>
      <c r="BP197" s="419">
        <f>(1+Sensitivity_FE_Order)*Training_Duration*$BH197</f>
        <v>0.4</v>
      </c>
      <c r="BQ197" s="419">
        <f>(1+Sensitivity_FE_Order)*Training_Duration*$BH197</f>
        <v>0.4</v>
      </c>
      <c r="BR197" s="419">
        <f>(1+Sensitivity_FE_Order)*0</f>
        <v>0</v>
      </c>
      <c r="BS197" s="263"/>
    </row>
    <row r="198" spans="1:71" ht="24" customHeight="1" outlineLevel="1" x14ac:dyDescent="0.2">
      <c r="A198" s="312"/>
      <c r="B198" s="546" t="s">
        <v>108</v>
      </c>
      <c r="C198" s="547" t="s">
        <v>171</v>
      </c>
      <c r="D198" s="515" t="s">
        <v>109</v>
      </c>
      <c r="E198" s="438" t="s">
        <v>150</v>
      </c>
      <c r="F198" s="414" t="s">
        <v>48</v>
      </c>
      <c r="G198" s="413" t="s">
        <v>50</v>
      </c>
      <c r="H198" s="511" t="s">
        <v>155</v>
      </c>
      <c r="I198" s="746"/>
      <c r="J198" s="407"/>
      <c r="K198" s="440"/>
      <c r="L198" s="440"/>
      <c r="M198" s="440"/>
      <c r="N198" s="264"/>
      <c r="O198" s="515" t="s">
        <v>218</v>
      </c>
      <c r="P198" s="264"/>
      <c r="Q198" s="264"/>
      <c r="R198" s="264"/>
      <c r="S198" s="419">
        <v>0</v>
      </c>
      <c r="T198" s="419">
        <v>0</v>
      </c>
      <c r="U198" s="419">
        <v>0</v>
      </c>
      <c r="V198" s="419">
        <v>0</v>
      </c>
      <c r="W198" s="419">
        <v>0</v>
      </c>
      <c r="X198" s="419">
        <v>0</v>
      </c>
      <c r="Y198" s="419">
        <v>0</v>
      </c>
      <c r="Z198" s="419">
        <v>0</v>
      </c>
      <c r="AA198" s="419">
        <v>0</v>
      </c>
      <c r="AB198" s="264"/>
      <c r="AC198" s="515" t="s">
        <v>218</v>
      </c>
      <c r="AD198" s="440"/>
      <c r="AE198" s="264"/>
      <c r="AF198" s="263"/>
      <c r="AG198" s="419">
        <v>0</v>
      </c>
      <c r="AH198" s="419">
        <v>0</v>
      </c>
      <c r="AI198" s="419">
        <v>0</v>
      </c>
      <c r="AJ198" s="419">
        <v>0</v>
      </c>
      <c r="AK198" s="419">
        <v>0</v>
      </c>
      <c r="AL198" s="419">
        <v>0</v>
      </c>
      <c r="AM198" s="419">
        <v>0</v>
      </c>
      <c r="AN198" s="419">
        <v>0</v>
      </c>
      <c r="AO198" s="419">
        <v>0</v>
      </c>
      <c r="AP198" s="264"/>
      <c r="AQ198" s="264"/>
      <c r="AR198" s="515" t="s">
        <v>218</v>
      </c>
      <c r="AS198" s="440"/>
      <c r="AT198" s="264"/>
      <c r="AU198" s="263"/>
      <c r="AV198" s="419">
        <v>0</v>
      </c>
      <c r="AW198" s="419">
        <v>0</v>
      </c>
      <c r="AX198" s="419">
        <v>0</v>
      </c>
      <c r="AY198" s="419">
        <v>0</v>
      </c>
      <c r="AZ198" s="419">
        <v>0</v>
      </c>
      <c r="BA198" s="419">
        <v>0</v>
      </c>
      <c r="BB198" s="419">
        <v>0</v>
      </c>
      <c r="BC198" s="419">
        <v>0</v>
      </c>
      <c r="BD198" s="419">
        <v>0</v>
      </c>
      <c r="BE198" s="264"/>
      <c r="BF198" s="515" t="s">
        <v>218</v>
      </c>
      <c r="BG198" s="440"/>
      <c r="BH198" s="264"/>
      <c r="BI198" s="263"/>
      <c r="BJ198" s="419">
        <v>0</v>
      </c>
      <c r="BK198" s="419">
        <v>0</v>
      </c>
      <c r="BL198" s="419">
        <v>0</v>
      </c>
      <c r="BM198" s="419">
        <v>0</v>
      </c>
      <c r="BN198" s="419">
        <v>0</v>
      </c>
      <c r="BO198" s="419">
        <v>0</v>
      </c>
      <c r="BP198" s="419">
        <v>0</v>
      </c>
      <c r="BQ198" s="419">
        <v>0</v>
      </c>
      <c r="BR198" s="419">
        <v>0</v>
      </c>
      <c r="BS198" s="263"/>
    </row>
    <row r="199" spans="1:71" ht="24" customHeight="1" outlineLevel="1" x14ac:dyDescent="0.2">
      <c r="A199" s="312"/>
      <c r="B199" s="437" t="s">
        <v>108</v>
      </c>
      <c r="C199" s="171" t="s">
        <v>171</v>
      </c>
      <c r="D199" s="432" t="s">
        <v>109</v>
      </c>
      <c r="E199" s="432" t="s">
        <v>139</v>
      </c>
      <c r="F199" s="433" t="s">
        <v>51</v>
      </c>
      <c r="G199" s="426" t="s">
        <v>50</v>
      </c>
      <c r="H199" s="517" t="s">
        <v>214</v>
      </c>
      <c r="I199" s="768" t="s">
        <v>239</v>
      </c>
      <c r="J199" s="436"/>
      <c r="K199" s="467"/>
      <c r="L199" s="467"/>
      <c r="M199" s="467"/>
      <c r="N199" s="264"/>
      <c r="O199" s="553" t="s">
        <v>208</v>
      </c>
      <c r="P199" s="264"/>
      <c r="Q199" s="374">
        <v>0.35</v>
      </c>
      <c r="R199" s="264"/>
      <c r="S199" s="419">
        <f>(1+Sensitivity_FE_Order)*(Complex_Process_Effort*(1+PM_Overhead)*$Q199)</f>
        <v>23.099999999999998</v>
      </c>
      <c r="T199" s="419">
        <f>(1+Sensitivity_FE_Order)*(Complex_Process_Effort*(1+PM_Overhead)*$Q199)</f>
        <v>23.099999999999998</v>
      </c>
      <c r="U199" s="419">
        <f>(1+Sensitivity_FE_Order)*(Complex_Process_Effort*(1+PM_Overhead)*$Q199)</f>
        <v>23.099999999999998</v>
      </c>
      <c r="V199" s="419">
        <f>(1+Sensitivity_FE_Order)*(Complex_Process_Effort*(1+PM_Overhead)*$Q199)</f>
        <v>23.099999999999998</v>
      </c>
      <c r="W199" s="419">
        <f>(1+Sensitivity_FE_Order)*0</f>
        <v>0</v>
      </c>
      <c r="X199" s="419">
        <f>(1+Sensitivity_FE_Order)*0</f>
        <v>0</v>
      </c>
      <c r="Y199" s="419">
        <f>(1+Sensitivity_FE_Order)*0</f>
        <v>0</v>
      </c>
      <c r="Z199" s="419">
        <f>(1+Sensitivity_FE_Order)*0</f>
        <v>0</v>
      </c>
      <c r="AA199" s="419">
        <f>(1+Sensitivity_FE_Order)*0</f>
        <v>0</v>
      </c>
      <c r="AB199" s="264"/>
      <c r="AC199" s="553" t="s">
        <v>208</v>
      </c>
      <c r="AD199" s="467"/>
      <c r="AE199" s="374">
        <v>0.35</v>
      </c>
      <c r="AF199" s="263"/>
      <c r="AG199" s="419">
        <f>(1+Sensitivity_FE_Order)*((Complex_Process_Effort*(1+PM_Overhead)*$AE199))</f>
        <v>23.099999999999998</v>
      </c>
      <c r="AH199" s="419">
        <f>(1+Sensitivity_FE_Order)*((Complex_Process_Effort*(1+PM_Overhead)*$AE199))</f>
        <v>23.099999999999998</v>
      </c>
      <c r="AI199" s="419">
        <f>(1+Sensitivity_FE_Order)*((Complex_Process_Effort*(1+PM_Overhead)*$AE199))</f>
        <v>23.099999999999998</v>
      </c>
      <c r="AJ199" s="419">
        <f>(1+Sensitivity_FE_Order)*((Complex_Process_Effort*(1+PM_Overhead)*$AE199))</f>
        <v>23.099999999999998</v>
      </c>
      <c r="AK199" s="419">
        <f>(1+Sensitivity_FE_Order)*0</f>
        <v>0</v>
      </c>
      <c r="AL199" s="419">
        <f>(1+Sensitivity_FE_Order)*0</f>
        <v>0</v>
      </c>
      <c r="AM199" s="419">
        <f>(1+Sensitivity_FE_Order)*0</f>
        <v>0</v>
      </c>
      <c r="AN199" s="419">
        <f>(1+Sensitivity_FE_Order)*0</f>
        <v>0</v>
      </c>
      <c r="AO199" s="419">
        <f>(1+Sensitivity_FE_Order)*0</f>
        <v>0</v>
      </c>
      <c r="AP199" s="264"/>
      <c r="AQ199" s="264"/>
      <c r="AR199" s="553" t="s">
        <v>208</v>
      </c>
      <c r="AS199" s="467"/>
      <c r="AT199" s="374">
        <v>0.35</v>
      </c>
      <c r="AU199" s="263"/>
      <c r="AV199" s="419">
        <f>(1+Sensitivity_FE_Order)*((Complex_Process_Effort*(1+PM_Overhead)*$AT199))</f>
        <v>23.099999999999998</v>
      </c>
      <c r="AW199" s="419">
        <f>(1+Sensitivity_FE_Order)*((Complex_Process_Effort*(1+PM_Overhead)*$AT199))</f>
        <v>23.099999999999998</v>
      </c>
      <c r="AX199" s="419">
        <f>(1+Sensitivity_FE_Order)*((Complex_Process_Effort*(1+PM_Overhead)*$AT199))</f>
        <v>23.099999999999998</v>
      </c>
      <c r="AY199" s="419">
        <f>(1+Sensitivity_FE_Order)*((Complex_Process_Effort*(1+PM_Overhead)*$AT199))</f>
        <v>23.099999999999998</v>
      </c>
      <c r="AZ199" s="419">
        <f>(1+Sensitivity_FE_Order)*0</f>
        <v>0</v>
      </c>
      <c r="BA199" s="419">
        <f>(1+Sensitivity_FE_Order)*0</f>
        <v>0</v>
      </c>
      <c r="BB199" s="419">
        <f>(1+Sensitivity_FE_Order)*((Complex_Process_Effort*(1+PM_Overhead)*$AT199))*TierC_TierB_ratio</f>
        <v>11.549999999999999</v>
      </c>
      <c r="BC199" s="419">
        <f>(1+Sensitivity_FE_Order)*0</f>
        <v>0</v>
      </c>
      <c r="BD199" s="419">
        <f>BB199</f>
        <v>11.549999999999999</v>
      </c>
      <c r="BE199" s="264"/>
      <c r="BF199" s="553" t="s">
        <v>208</v>
      </c>
      <c r="BG199" s="467"/>
      <c r="BH199" s="374">
        <v>0.35</v>
      </c>
      <c r="BI199" s="263"/>
      <c r="BJ199" s="419">
        <f>(1+Sensitivity_FE_Order)*((Complex_Process_Effort*(1+PM_Overhead)*$BH199))</f>
        <v>23.099999999999998</v>
      </c>
      <c r="BK199" s="419">
        <f>(1+Sensitivity_FE_Order)*((Complex_Process_Effort*(1+PM_Overhead)*$BH199))</f>
        <v>23.099999999999998</v>
      </c>
      <c r="BL199" s="419">
        <f>(1+Sensitivity_FE_Order)*((Complex_Process_Effort*(1+PM_Overhead)*$BH199))</f>
        <v>23.099999999999998</v>
      </c>
      <c r="BM199" s="419">
        <f>(1+Sensitivity_FE_Order)*((Complex_Process_Effort*(1+PM_Overhead)*$BH199))</f>
        <v>23.099999999999998</v>
      </c>
      <c r="BN199" s="419">
        <f>(1+Sensitivity_FE_Order)*0</f>
        <v>0</v>
      </c>
      <c r="BO199" s="419">
        <f>(1+Sensitivity_FE_Order)*0</f>
        <v>0</v>
      </c>
      <c r="BP199" s="419">
        <f>(1+Sensitivity_FE_Order)*((Complex_Process_Effort*(1+PM_Overhead)*$BH199))*TierC_TierB_ratio</f>
        <v>11.549999999999999</v>
      </c>
      <c r="BQ199" s="419">
        <f>(1+Sensitivity_FE_Order)*0</f>
        <v>0</v>
      </c>
      <c r="BR199" s="419">
        <f>BP199</f>
        <v>11.549999999999999</v>
      </c>
      <c r="BS199" s="263"/>
    </row>
    <row r="200" spans="1:71" ht="24" customHeight="1" outlineLevel="1" x14ac:dyDescent="0.2">
      <c r="A200" s="312"/>
      <c r="B200" s="437" t="s">
        <v>108</v>
      </c>
      <c r="C200" s="171" t="s">
        <v>171</v>
      </c>
      <c r="D200" s="432" t="s">
        <v>109</v>
      </c>
      <c r="E200" s="432" t="s">
        <v>139</v>
      </c>
      <c r="F200" s="433" t="s">
        <v>49</v>
      </c>
      <c r="G200" s="426" t="s">
        <v>47</v>
      </c>
      <c r="H200" s="517" t="s">
        <v>118</v>
      </c>
      <c r="I200" s="769"/>
      <c r="J200" s="436"/>
      <c r="K200" s="467"/>
      <c r="L200" s="467"/>
      <c r="M200" s="467"/>
      <c r="N200" s="264"/>
      <c r="O200" s="426"/>
      <c r="P200" s="264"/>
      <c r="Q200" s="264"/>
      <c r="R200" s="264"/>
      <c r="S200" s="374">
        <v>0.2</v>
      </c>
      <c r="T200" s="374">
        <v>0.2</v>
      </c>
      <c r="U200" s="374">
        <v>0.2</v>
      </c>
      <c r="V200" s="374">
        <v>0.2</v>
      </c>
      <c r="W200" s="374">
        <v>0.2</v>
      </c>
      <c r="X200" s="374">
        <v>0.2</v>
      </c>
      <c r="Y200" s="374">
        <v>0.2</v>
      </c>
      <c r="Z200" s="374">
        <v>0.2</v>
      </c>
      <c r="AA200" s="374">
        <v>0.2</v>
      </c>
      <c r="AB200" s="264"/>
      <c r="AC200" s="426"/>
      <c r="AD200" s="467"/>
      <c r="AE200" s="264"/>
      <c r="AF200" s="263"/>
      <c r="AG200" s="374">
        <v>0.2</v>
      </c>
      <c r="AH200" s="374">
        <v>0.2</v>
      </c>
      <c r="AI200" s="374">
        <v>0.2</v>
      </c>
      <c r="AJ200" s="374">
        <v>0.2</v>
      </c>
      <c r="AK200" s="374">
        <v>0.2</v>
      </c>
      <c r="AL200" s="374">
        <v>0.2</v>
      </c>
      <c r="AM200" s="374">
        <v>0.2</v>
      </c>
      <c r="AN200" s="374">
        <v>0.2</v>
      </c>
      <c r="AO200" s="374">
        <v>0.2</v>
      </c>
      <c r="AP200" s="264"/>
      <c r="AQ200" s="264"/>
      <c r="AR200" s="426"/>
      <c r="AS200" s="467"/>
      <c r="AT200" s="264"/>
      <c r="AU200" s="263"/>
      <c r="AV200" s="374">
        <v>0.2</v>
      </c>
      <c r="AW200" s="374">
        <v>0.2</v>
      </c>
      <c r="AX200" s="374">
        <v>0.2</v>
      </c>
      <c r="AY200" s="374">
        <v>0.2</v>
      </c>
      <c r="AZ200" s="374">
        <v>0.2</v>
      </c>
      <c r="BA200" s="374">
        <v>0.2</v>
      </c>
      <c r="BB200" s="374">
        <v>0.2</v>
      </c>
      <c r="BC200" s="374">
        <v>0.2</v>
      </c>
      <c r="BD200" s="374">
        <v>0.2</v>
      </c>
      <c r="BE200" s="264"/>
      <c r="BF200" s="426"/>
      <c r="BG200" s="467"/>
      <c r="BH200" s="264"/>
      <c r="BI200" s="263"/>
      <c r="BJ200" s="374">
        <v>0.2</v>
      </c>
      <c r="BK200" s="374">
        <v>0.2</v>
      </c>
      <c r="BL200" s="374">
        <v>0.2</v>
      </c>
      <c r="BM200" s="374">
        <v>0.2</v>
      </c>
      <c r="BN200" s="374">
        <v>0.2</v>
      </c>
      <c r="BO200" s="374">
        <v>0.2</v>
      </c>
      <c r="BP200" s="374">
        <v>0.2</v>
      </c>
      <c r="BQ200" s="374">
        <v>0.2</v>
      </c>
      <c r="BR200" s="374">
        <v>0.2</v>
      </c>
      <c r="BS200" s="263"/>
    </row>
    <row r="201" spans="1:71" ht="24" customHeight="1" outlineLevel="1" x14ac:dyDescent="0.2">
      <c r="A201" s="312"/>
      <c r="B201" s="437" t="s">
        <v>108</v>
      </c>
      <c r="C201" s="171" t="s">
        <v>171</v>
      </c>
      <c r="D201" s="432" t="s">
        <v>109</v>
      </c>
      <c r="E201" s="432" t="s">
        <v>139</v>
      </c>
      <c r="F201" s="433" t="s">
        <v>51</v>
      </c>
      <c r="G201" s="426" t="s">
        <v>50</v>
      </c>
      <c r="H201" s="517" t="s">
        <v>117</v>
      </c>
      <c r="I201" s="769"/>
      <c r="J201" s="435"/>
      <c r="K201" s="436"/>
      <c r="L201" s="436"/>
      <c r="M201" s="436"/>
      <c r="N201" s="264"/>
      <c r="O201" s="555"/>
      <c r="P201" s="264"/>
      <c r="Q201" s="374">
        <v>0.2</v>
      </c>
      <c r="R201" s="264"/>
      <c r="S201" s="419">
        <f>(1+Sensitivity_FE_Order)*Training_Duration*$Q201</f>
        <v>0.4</v>
      </c>
      <c r="T201" s="419">
        <f>(1+Sensitivity_FE_Order)*Training_Duration*$Q201</f>
        <v>0.4</v>
      </c>
      <c r="U201" s="419">
        <f>(1+Sensitivity_FE_Order)*Training_Duration*$Q201</f>
        <v>0.4</v>
      </c>
      <c r="V201" s="419">
        <f>(1+Sensitivity_FE_Order)*Training_Duration*$Q201</f>
        <v>0.4</v>
      </c>
      <c r="W201" s="419">
        <f>(1+Sensitivity_FE_Order)*0</f>
        <v>0</v>
      </c>
      <c r="X201" s="419">
        <f>(1+Sensitivity_FE_Order)*0</f>
        <v>0</v>
      </c>
      <c r="Y201" s="419">
        <f>(1+Sensitivity_FE_Order)*Training_Duration*$Q201</f>
        <v>0.4</v>
      </c>
      <c r="Z201" s="419">
        <f>(1+Sensitivity_FE_Order)*Training_Duration*$Q201</f>
        <v>0.4</v>
      </c>
      <c r="AA201" s="419">
        <f>(1+Sensitivity_FE_Order)*0</f>
        <v>0</v>
      </c>
      <c r="AB201" s="264"/>
      <c r="AC201" s="555"/>
      <c r="AD201" s="436"/>
      <c r="AE201" s="374">
        <v>0.2</v>
      </c>
      <c r="AF201" s="263"/>
      <c r="AG201" s="419">
        <f>(1+Sensitivity_FE_Order)*Training_Duration*$AE201</f>
        <v>0.4</v>
      </c>
      <c r="AH201" s="419">
        <f>(1+Sensitivity_FE_Order)*Training_Duration*$AE201</f>
        <v>0.4</v>
      </c>
      <c r="AI201" s="419">
        <f>(1+Sensitivity_FE_Order)*Training_Duration*$AE201</f>
        <v>0.4</v>
      </c>
      <c r="AJ201" s="419">
        <f>(1+Sensitivity_FE_Order)*Training_Duration*$AE201</f>
        <v>0.4</v>
      </c>
      <c r="AK201" s="419">
        <f>(1+Sensitivity_FE_Order)*0</f>
        <v>0</v>
      </c>
      <c r="AL201" s="419">
        <f>(1+Sensitivity_FE_Order)*0</f>
        <v>0</v>
      </c>
      <c r="AM201" s="419">
        <f>(1+Sensitivity_FE_Order)*Training_Duration*$AE201</f>
        <v>0.4</v>
      </c>
      <c r="AN201" s="419">
        <f>(1+Sensitivity_FE_Order)*Training_Duration*$AE201</f>
        <v>0.4</v>
      </c>
      <c r="AO201" s="419">
        <f>(1+Sensitivity_FE_Order)*0</f>
        <v>0</v>
      </c>
      <c r="AP201" s="264"/>
      <c r="AQ201" s="264"/>
      <c r="AR201" s="555"/>
      <c r="AS201" s="436"/>
      <c r="AT201" s="374">
        <v>0.2</v>
      </c>
      <c r="AU201" s="263"/>
      <c r="AV201" s="419">
        <f>(1+Sensitivity_FE_Order)*Training_Duration*$AT201</f>
        <v>0.4</v>
      </c>
      <c r="AW201" s="419">
        <f>(1+Sensitivity_FE_Order)*Training_Duration*$AT201</f>
        <v>0.4</v>
      </c>
      <c r="AX201" s="419">
        <f>(1+Sensitivity_FE_Order)*Training_Duration*$AT201</f>
        <v>0.4</v>
      </c>
      <c r="AY201" s="419">
        <f>(1+Sensitivity_FE_Order)*Training_Duration*$AT201</f>
        <v>0.4</v>
      </c>
      <c r="AZ201" s="419">
        <f>(1+Sensitivity_FE_Order)*0</f>
        <v>0</v>
      </c>
      <c r="BA201" s="419">
        <f>(1+Sensitivity_FE_Order)*0</f>
        <v>0</v>
      </c>
      <c r="BB201" s="419">
        <f>(1+Sensitivity_FE_Order)*Training_Duration*$AT201</f>
        <v>0.4</v>
      </c>
      <c r="BC201" s="419">
        <f>(1+Sensitivity_FE_Order)*Training_Duration*$AT201</f>
        <v>0.4</v>
      </c>
      <c r="BD201" s="419">
        <f>(1+Sensitivity_FE_Order)*0</f>
        <v>0</v>
      </c>
      <c r="BE201" s="264"/>
      <c r="BF201" s="555"/>
      <c r="BG201" s="436"/>
      <c r="BH201" s="374">
        <v>0.2</v>
      </c>
      <c r="BI201" s="263"/>
      <c r="BJ201" s="419">
        <f>(1+Sensitivity_FE_Order)*Training_Duration*$BH201</f>
        <v>0.4</v>
      </c>
      <c r="BK201" s="419">
        <f>(1+Sensitivity_FE_Order)*Training_Duration*$BH201</f>
        <v>0.4</v>
      </c>
      <c r="BL201" s="419">
        <f>(1+Sensitivity_FE_Order)*Training_Duration*$BH201</f>
        <v>0.4</v>
      </c>
      <c r="BM201" s="419">
        <f>(1+Sensitivity_FE_Order)*Training_Duration*$BH201</f>
        <v>0.4</v>
      </c>
      <c r="BN201" s="419">
        <f>(1+Sensitivity_FE_Order)*0</f>
        <v>0</v>
      </c>
      <c r="BO201" s="419">
        <f>(1+Sensitivity_FE_Order)*0</f>
        <v>0</v>
      </c>
      <c r="BP201" s="419">
        <f>(1+Sensitivity_FE_Order)*Training_Duration*$BH201</f>
        <v>0.4</v>
      </c>
      <c r="BQ201" s="419">
        <f>(1+Sensitivity_FE_Order)*Training_Duration*$BH201</f>
        <v>0.4</v>
      </c>
      <c r="BR201" s="419">
        <f>(1+Sensitivity_FE_Order)*0</f>
        <v>0</v>
      </c>
      <c r="BS201" s="263"/>
    </row>
    <row r="202" spans="1:71" ht="24" customHeight="1" outlineLevel="1" x14ac:dyDescent="0.2">
      <c r="A202" s="312"/>
      <c r="B202" s="437" t="s">
        <v>108</v>
      </c>
      <c r="C202" s="171" t="s">
        <v>171</v>
      </c>
      <c r="D202" s="432" t="s">
        <v>109</v>
      </c>
      <c r="E202" s="432" t="s">
        <v>139</v>
      </c>
      <c r="F202" s="433" t="s">
        <v>48</v>
      </c>
      <c r="G202" s="426" t="s">
        <v>50</v>
      </c>
      <c r="H202" s="517" t="s">
        <v>153</v>
      </c>
      <c r="I202" s="770"/>
      <c r="J202" s="436"/>
      <c r="K202" s="467"/>
      <c r="L202" s="467"/>
      <c r="M202" s="467"/>
      <c r="N202" s="264"/>
      <c r="O202" s="426" t="s">
        <v>218</v>
      </c>
      <c r="P202" s="264"/>
      <c r="Q202" s="264"/>
      <c r="R202" s="264"/>
      <c r="S202" s="419">
        <v>0</v>
      </c>
      <c r="T202" s="419">
        <v>0</v>
      </c>
      <c r="U202" s="419">
        <v>0</v>
      </c>
      <c r="V202" s="419">
        <v>0</v>
      </c>
      <c r="W202" s="419">
        <v>0</v>
      </c>
      <c r="X202" s="419">
        <v>0</v>
      </c>
      <c r="Y202" s="419">
        <v>0</v>
      </c>
      <c r="Z202" s="419">
        <v>0</v>
      </c>
      <c r="AA202" s="419">
        <v>0</v>
      </c>
      <c r="AB202" s="264"/>
      <c r="AC202" s="426" t="s">
        <v>218</v>
      </c>
      <c r="AD202" s="467"/>
      <c r="AE202" s="264"/>
      <c r="AF202" s="263"/>
      <c r="AG202" s="419">
        <v>0</v>
      </c>
      <c r="AH202" s="419">
        <v>0</v>
      </c>
      <c r="AI202" s="419">
        <v>0</v>
      </c>
      <c r="AJ202" s="419">
        <v>0</v>
      </c>
      <c r="AK202" s="419">
        <v>0</v>
      </c>
      <c r="AL202" s="419">
        <v>0</v>
      </c>
      <c r="AM202" s="419">
        <v>0</v>
      </c>
      <c r="AN202" s="419">
        <v>0</v>
      </c>
      <c r="AO202" s="419">
        <v>0</v>
      </c>
      <c r="AP202" s="264"/>
      <c r="AQ202" s="264"/>
      <c r="AR202" s="426" t="s">
        <v>218</v>
      </c>
      <c r="AS202" s="467"/>
      <c r="AT202" s="264"/>
      <c r="AU202" s="263"/>
      <c r="AV202" s="419">
        <v>0</v>
      </c>
      <c r="AW202" s="419">
        <v>0</v>
      </c>
      <c r="AX202" s="419">
        <v>0</v>
      </c>
      <c r="AY202" s="419">
        <v>0</v>
      </c>
      <c r="AZ202" s="419">
        <v>0</v>
      </c>
      <c r="BA202" s="419">
        <v>0</v>
      </c>
      <c r="BB202" s="419">
        <v>0</v>
      </c>
      <c r="BC202" s="419">
        <v>0</v>
      </c>
      <c r="BD202" s="419">
        <v>0</v>
      </c>
      <c r="BE202" s="264"/>
      <c r="BF202" s="426" t="s">
        <v>218</v>
      </c>
      <c r="BG202" s="467"/>
      <c r="BH202" s="264"/>
      <c r="BI202" s="263"/>
      <c r="BJ202" s="419">
        <v>0</v>
      </c>
      <c r="BK202" s="419">
        <v>0</v>
      </c>
      <c r="BL202" s="419">
        <v>0</v>
      </c>
      <c r="BM202" s="419">
        <v>0</v>
      </c>
      <c r="BN202" s="419">
        <v>0</v>
      </c>
      <c r="BO202" s="419">
        <v>0</v>
      </c>
      <c r="BP202" s="419">
        <v>0</v>
      </c>
      <c r="BQ202" s="419">
        <v>0</v>
      </c>
      <c r="BR202" s="419">
        <v>0</v>
      </c>
      <c r="BS202" s="263"/>
    </row>
    <row r="203" spans="1:71" ht="24" customHeight="1" outlineLevel="1" x14ac:dyDescent="0.2">
      <c r="A203" s="312"/>
      <c r="B203" s="546" t="s">
        <v>108</v>
      </c>
      <c r="C203" s="547" t="s">
        <v>170</v>
      </c>
      <c r="D203" s="515" t="s">
        <v>109</v>
      </c>
      <c r="E203" s="438" t="s">
        <v>166</v>
      </c>
      <c r="F203" s="414" t="s">
        <v>51</v>
      </c>
      <c r="G203" s="413" t="s">
        <v>50</v>
      </c>
      <c r="H203" s="511" t="s">
        <v>214</v>
      </c>
      <c r="I203" s="744" t="s">
        <v>240</v>
      </c>
      <c r="J203" s="436"/>
      <c r="K203" s="440"/>
      <c r="L203" s="440"/>
      <c r="M203" s="440"/>
      <c r="N203" s="264"/>
      <c r="O203" s="515" t="s">
        <v>207</v>
      </c>
      <c r="P203" s="264"/>
      <c r="Q203" s="374">
        <v>0.05</v>
      </c>
      <c r="R203" s="264"/>
      <c r="S203" s="419">
        <f>(1+Sensitivity_FE_Order)*(Complex_Process_Effort*(1+PM_Overhead)*$Q203)</f>
        <v>3.3000000000000003</v>
      </c>
      <c r="T203" s="419">
        <f>(1+Sensitivity_FE_Order)*(Complex_Process_Effort*(1+PM_Overhead)*$Q203)</f>
        <v>3.3000000000000003</v>
      </c>
      <c r="U203" s="419">
        <f>(1+Sensitivity_FE_Order)*(Complex_Process_Effort*(1+PM_Overhead)*$Q203)</f>
        <v>3.3000000000000003</v>
      </c>
      <c r="V203" s="419">
        <f>(1+Sensitivity_FE_Order)*(Complex_Process_Effort*(1+PM_Overhead)*$Q203)</f>
        <v>3.3000000000000003</v>
      </c>
      <c r="W203" s="419">
        <f>(1+Sensitivity_FE_Order)*0</f>
        <v>0</v>
      </c>
      <c r="X203" s="419">
        <f>(1+Sensitivity_FE_Order)*0</f>
        <v>0</v>
      </c>
      <c r="Y203" s="419">
        <f>(1+Sensitivity_FE_Order)*0</f>
        <v>0</v>
      </c>
      <c r="Z203" s="419">
        <f>(1+Sensitivity_FE_Order)*0</f>
        <v>0</v>
      </c>
      <c r="AA203" s="419">
        <f>(1+Sensitivity_FE_Order)*0</f>
        <v>0</v>
      </c>
      <c r="AB203" s="264"/>
      <c r="AC203" s="515" t="s">
        <v>207</v>
      </c>
      <c r="AD203" s="440"/>
      <c r="AE203" s="374">
        <v>0.05</v>
      </c>
      <c r="AF203" s="263"/>
      <c r="AG203" s="419">
        <f>(1+Sensitivity_FE_Order)*(Complex_Process_Effort*(1+PM_Overhead)*$AE203)</f>
        <v>3.3000000000000003</v>
      </c>
      <c r="AH203" s="419">
        <f>(1+Sensitivity_FE_Order)*(Complex_Process_Effort*(1+PM_Overhead)*$AE203)</f>
        <v>3.3000000000000003</v>
      </c>
      <c r="AI203" s="419">
        <f>(1+Sensitivity_FE_Order)*(Complex_Process_Effort*(1+PM_Overhead)*$AE203)</f>
        <v>3.3000000000000003</v>
      </c>
      <c r="AJ203" s="419">
        <f>(1+Sensitivity_FE_Order)*(Complex_Process_Effort*(1+PM_Overhead)*$AE203)</f>
        <v>3.3000000000000003</v>
      </c>
      <c r="AK203" s="419">
        <f>(1+Sensitivity_FE_Order)*0</f>
        <v>0</v>
      </c>
      <c r="AL203" s="419">
        <f>(1+Sensitivity_FE_Order)*0</f>
        <v>0</v>
      </c>
      <c r="AM203" s="419">
        <f>(1+Sensitivity_FE_Order)*0</f>
        <v>0</v>
      </c>
      <c r="AN203" s="419">
        <f>(1+Sensitivity_FE_Order)*0</f>
        <v>0</v>
      </c>
      <c r="AO203" s="419">
        <f>(1+Sensitivity_FE_Order)*0</f>
        <v>0</v>
      </c>
      <c r="AP203" s="264"/>
      <c r="AQ203" s="264"/>
      <c r="AR203" s="515" t="s">
        <v>207</v>
      </c>
      <c r="AS203" s="440"/>
      <c r="AT203" s="374">
        <v>0.05</v>
      </c>
      <c r="AU203" s="263"/>
      <c r="AV203" s="419">
        <f>(1+Sensitivity_FE_Order)*(Complex_Process_Effort*(1+PM_Overhead)*$AT203)</f>
        <v>3.3000000000000003</v>
      </c>
      <c r="AW203" s="419">
        <f>(1+Sensitivity_FE_Order)*(Complex_Process_Effort*(1+PM_Overhead)*$AT203)</f>
        <v>3.3000000000000003</v>
      </c>
      <c r="AX203" s="419">
        <f>(1+Sensitivity_FE_Order)*(Complex_Process_Effort*(1+PM_Overhead)*$AT203)</f>
        <v>3.3000000000000003</v>
      </c>
      <c r="AY203" s="419">
        <f>(1+Sensitivity_FE_Order)*(Complex_Process_Effort*(1+PM_Overhead)*$AT203)</f>
        <v>3.3000000000000003</v>
      </c>
      <c r="AZ203" s="419">
        <f>(1+Sensitivity_FE_Order)*0</f>
        <v>0</v>
      </c>
      <c r="BA203" s="419">
        <f>(1+Sensitivity_FE_Order)*0</f>
        <v>0</v>
      </c>
      <c r="BB203" s="419">
        <f>(1+Sensitivity_FE_Order)*((Complex_Process_Effort*(1+PM_Overhead)*$AT203))*TierC_TierB_ratio</f>
        <v>1.6500000000000001</v>
      </c>
      <c r="BC203" s="419">
        <f>(1+Sensitivity_FE_Order)*0</f>
        <v>0</v>
      </c>
      <c r="BD203" s="419">
        <f>BB203</f>
        <v>1.6500000000000001</v>
      </c>
      <c r="BE203" s="264"/>
      <c r="BF203" s="514" t="s">
        <v>207</v>
      </c>
      <c r="BG203" s="440"/>
      <c r="BH203" s="374">
        <v>0.05</v>
      </c>
      <c r="BI203" s="263"/>
      <c r="BJ203" s="419">
        <f>(1+Sensitivity_FE_Order)*(Complex_Process_Effort*(1+PM_Overhead)*$BH203)</f>
        <v>3.3000000000000003</v>
      </c>
      <c r="BK203" s="419">
        <f>(1+Sensitivity_FE_Order)*(Complex_Process_Effort*(1+PM_Overhead)*$BH203)</f>
        <v>3.3000000000000003</v>
      </c>
      <c r="BL203" s="419">
        <f>(1+Sensitivity_FE_Order)*(Complex_Process_Effort*(1+PM_Overhead)*$BH203)</f>
        <v>3.3000000000000003</v>
      </c>
      <c r="BM203" s="419">
        <f>(1+Sensitivity_FE_Order)*(Complex_Process_Effort*(1+PM_Overhead)*$BH203)</f>
        <v>3.3000000000000003</v>
      </c>
      <c r="BN203" s="419">
        <f>(1+Sensitivity_FE_Order)*0</f>
        <v>0</v>
      </c>
      <c r="BO203" s="419">
        <f>(1+Sensitivity_FE_Order)*0</f>
        <v>0</v>
      </c>
      <c r="BP203" s="419">
        <f>(1+Sensitivity_FE_Order)*((Complex_Process_Effort*(1+PM_Overhead)*$BH203))*TierC_TierB_ratio</f>
        <v>1.6500000000000001</v>
      </c>
      <c r="BQ203" s="419">
        <f>(1+Sensitivity_FE_Order)*0</f>
        <v>0</v>
      </c>
      <c r="BR203" s="419">
        <f>BP203</f>
        <v>1.6500000000000001</v>
      </c>
      <c r="BS203" s="263"/>
    </row>
    <row r="204" spans="1:71" ht="24" customHeight="1" outlineLevel="1" x14ac:dyDescent="0.2">
      <c r="A204" s="312"/>
      <c r="B204" s="546" t="s">
        <v>108</v>
      </c>
      <c r="C204" s="547" t="s">
        <v>170</v>
      </c>
      <c r="D204" s="515" t="s">
        <v>109</v>
      </c>
      <c r="E204" s="438" t="s">
        <v>166</v>
      </c>
      <c r="F204" s="414" t="s">
        <v>49</v>
      </c>
      <c r="G204" s="413" t="s">
        <v>50</v>
      </c>
      <c r="H204" s="511" t="s">
        <v>118</v>
      </c>
      <c r="I204" s="745"/>
      <c r="J204" s="436"/>
      <c r="K204" s="440"/>
      <c r="L204" s="440"/>
      <c r="M204" s="440"/>
      <c r="N204" s="264"/>
      <c r="O204" s="515"/>
      <c r="P204" s="264"/>
      <c r="Q204" s="264"/>
      <c r="R204" s="264"/>
      <c r="S204" s="374">
        <v>0.2</v>
      </c>
      <c r="T204" s="374">
        <v>0.2</v>
      </c>
      <c r="U204" s="374">
        <v>0.2</v>
      </c>
      <c r="V204" s="374">
        <v>0.2</v>
      </c>
      <c r="W204" s="374">
        <v>0.2</v>
      </c>
      <c r="X204" s="374">
        <v>0.2</v>
      </c>
      <c r="Y204" s="374">
        <v>0.2</v>
      </c>
      <c r="Z204" s="374">
        <v>0.2</v>
      </c>
      <c r="AA204" s="374">
        <v>0.2</v>
      </c>
      <c r="AB204" s="264"/>
      <c r="AC204" s="515"/>
      <c r="AD204" s="440"/>
      <c r="AE204" s="264"/>
      <c r="AF204" s="263"/>
      <c r="AG204" s="374">
        <v>0.2</v>
      </c>
      <c r="AH204" s="374">
        <v>0.2</v>
      </c>
      <c r="AI204" s="374">
        <v>0.2</v>
      </c>
      <c r="AJ204" s="374">
        <v>0.2</v>
      </c>
      <c r="AK204" s="374">
        <v>0.2</v>
      </c>
      <c r="AL204" s="374">
        <v>0.2</v>
      </c>
      <c r="AM204" s="374">
        <v>0.2</v>
      </c>
      <c r="AN204" s="374">
        <v>0.2</v>
      </c>
      <c r="AO204" s="374">
        <v>0.2</v>
      </c>
      <c r="AP204" s="264"/>
      <c r="AQ204" s="264"/>
      <c r="AR204" s="515"/>
      <c r="AS204" s="440"/>
      <c r="AT204" s="264"/>
      <c r="AU204" s="263"/>
      <c r="AV204" s="374">
        <v>0.2</v>
      </c>
      <c r="AW204" s="374">
        <v>0.2</v>
      </c>
      <c r="AX204" s="374">
        <v>0.2</v>
      </c>
      <c r="AY204" s="374">
        <v>0.2</v>
      </c>
      <c r="AZ204" s="374">
        <v>0.2</v>
      </c>
      <c r="BA204" s="374">
        <v>0.2</v>
      </c>
      <c r="BB204" s="374">
        <v>0.2</v>
      </c>
      <c r="BC204" s="374">
        <v>0.2</v>
      </c>
      <c r="BD204" s="374">
        <v>0.2</v>
      </c>
      <c r="BE204" s="264"/>
      <c r="BF204" s="515"/>
      <c r="BG204" s="440"/>
      <c r="BH204" s="264"/>
      <c r="BI204" s="263"/>
      <c r="BJ204" s="374">
        <v>0.2</v>
      </c>
      <c r="BK204" s="374">
        <v>0.2</v>
      </c>
      <c r="BL204" s="374">
        <v>0.2</v>
      </c>
      <c r="BM204" s="374">
        <v>0.2</v>
      </c>
      <c r="BN204" s="374">
        <v>0.2</v>
      </c>
      <c r="BO204" s="374">
        <v>0.2</v>
      </c>
      <c r="BP204" s="374">
        <v>0.2</v>
      </c>
      <c r="BQ204" s="374">
        <v>0.2</v>
      </c>
      <c r="BR204" s="374">
        <v>0.2</v>
      </c>
      <c r="BS204" s="263"/>
    </row>
    <row r="205" spans="1:71" ht="24" customHeight="1" outlineLevel="1" x14ac:dyDescent="0.2">
      <c r="A205" s="312"/>
      <c r="B205" s="546" t="s">
        <v>108</v>
      </c>
      <c r="C205" s="547" t="s">
        <v>170</v>
      </c>
      <c r="D205" s="515" t="s">
        <v>109</v>
      </c>
      <c r="E205" s="438" t="s">
        <v>166</v>
      </c>
      <c r="F205" s="414" t="s">
        <v>51</v>
      </c>
      <c r="G205" s="413" t="s">
        <v>50</v>
      </c>
      <c r="H205" s="511" t="s">
        <v>117</v>
      </c>
      <c r="I205" s="745"/>
      <c r="J205" s="436"/>
      <c r="K205" s="440"/>
      <c r="L205" s="440"/>
      <c r="M205" s="440"/>
      <c r="N205" s="264"/>
      <c r="O205" s="580" t="s">
        <v>187</v>
      </c>
      <c r="P205" s="264"/>
      <c r="Q205" s="374">
        <v>0.1</v>
      </c>
      <c r="R205" s="264"/>
      <c r="S205" s="419">
        <f>(1+Sensitivity_FE_Order)*Training_Duration*$Q205</f>
        <v>0.2</v>
      </c>
      <c r="T205" s="419">
        <f>(1+Sensitivity_FE_Order)*Training_Duration*$Q205</f>
        <v>0.2</v>
      </c>
      <c r="U205" s="419">
        <f>(1+Sensitivity_FE_Order)*Training_Duration*$Q205</f>
        <v>0.2</v>
      </c>
      <c r="V205" s="419">
        <f>(1+Sensitivity_FE_Order)*Training_Duration*$Q205</f>
        <v>0.2</v>
      </c>
      <c r="W205" s="419">
        <f>(1+Sensitivity_FE_Order)*0</f>
        <v>0</v>
      </c>
      <c r="X205" s="419">
        <f>(1+Sensitivity_FE_Order)*0</f>
        <v>0</v>
      </c>
      <c r="Y205" s="419">
        <f>(1+Sensitivity_FE_Order)*Training_Duration*$Q205</f>
        <v>0.2</v>
      </c>
      <c r="Z205" s="419">
        <f>(1+Sensitivity_FE_Order)*Training_Duration*$Q205</f>
        <v>0.2</v>
      </c>
      <c r="AA205" s="419">
        <f>(1+Sensitivity_FE_Order)*0</f>
        <v>0</v>
      </c>
      <c r="AB205" s="264"/>
      <c r="AC205" s="580" t="s">
        <v>187</v>
      </c>
      <c r="AD205" s="440"/>
      <c r="AE205" s="374">
        <v>0.1</v>
      </c>
      <c r="AF205" s="263"/>
      <c r="AG205" s="419">
        <f>(1+Sensitivity_FE_Order)*Training_Duration*$AE205</f>
        <v>0.2</v>
      </c>
      <c r="AH205" s="419">
        <f>(1+Sensitivity_FE_Order)*Training_Duration*$AE205</f>
        <v>0.2</v>
      </c>
      <c r="AI205" s="419">
        <f>(1+Sensitivity_FE_Order)*Training_Duration*$AE205</f>
        <v>0.2</v>
      </c>
      <c r="AJ205" s="419">
        <f>(1+Sensitivity_FE_Order)*Training_Duration*$AE205</f>
        <v>0.2</v>
      </c>
      <c r="AK205" s="419">
        <f>(1+Sensitivity_FE_Order)*0</f>
        <v>0</v>
      </c>
      <c r="AL205" s="419">
        <f>(1+Sensitivity_FE_Order)*0</f>
        <v>0</v>
      </c>
      <c r="AM205" s="419">
        <f>(1+Sensitivity_FE_Order)*Training_Duration*$AE205</f>
        <v>0.2</v>
      </c>
      <c r="AN205" s="419">
        <f>(1+Sensitivity_FE_Order)*Training_Duration*$AE205</f>
        <v>0.2</v>
      </c>
      <c r="AO205" s="419">
        <f>(1+Sensitivity_FE_Order)*0</f>
        <v>0</v>
      </c>
      <c r="AP205" s="264"/>
      <c r="AQ205" s="264"/>
      <c r="AR205" s="580" t="s">
        <v>187</v>
      </c>
      <c r="AS205" s="440"/>
      <c r="AT205" s="374">
        <v>0.1</v>
      </c>
      <c r="AU205" s="263"/>
      <c r="AV205" s="419">
        <f>(1+Sensitivity_FE_Order)*Training_Duration*$AT205</f>
        <v>0.2</v>
      </c>
      <c r="AW205" s="419">
        <f>(1+Sensitivity_FE_Order)*Training_Duration*$AT205</f>
        <v>0.2</v>
      </c>
      <c r="AX205" s="419">
        <f>(1+Sensitivity_FE_Order)*Training_Duration*$AT205</f>
        <v>0.2</v>
      </c>
      <c r="AY205" s="419">
        <f>(1+Sensitivity_FE_Order)*Training_Duration*$AT205</f>
        <v>0.2</v>
      </c>
      <c r="AZ205" s="419">
        <f>(1+Sensitivity_FE_Order)*0</f>
        <v>0</v>
      </c>
      <c r="BA205" s="419">
        <f>(1+Sensitivity_FE_Order)*0</f>
        <v>0</v>
      </c>
      <c r="BB205" s="419">
        <f>(1+Sensitivity_FE_Order)*Training_Duration*$AT205</f>
        <v>0.2</v>
      </c>
      <c r="BC205" s="419">
        <f>(1+Sensitivity_FE_Order)*Training_Duration*$AT205</f>
        <v>0.2</v>
      </c>
      <c r="BD205" s="419">
        <f>(1+Sensitivity_FE_Order)*0</f>
        <v>0</v>
      </c>
      <c r="BE205" s="264"/>
      <c r="BF205" s="580" t="s">
        <v>187</v>
      </c>
      <c r="BG205" s="440"/>
      <c r="BH205" s="374">
        <v>0.1</v>
      </c>
      <c r="BI205" s="263"/>
      <c r="BJ205" s="419">
        <f>(1+Sensitivity_FE_Order)*Training_Duration*$BH205</f>
        <v>0.2</v>
      </c>
      <c r="BK205" s="419">
        <f>(1+Sensitivity_FE_Order)*Training_Duration*$BH205</f>
        <v>0.2</v>
      </c>
      <c r="BL205" s="419">
        <f>(1+Sensitivity_FE_Order)*Training_Duration*$BH205</f>
        <v>0.2</v>
      </c>
      <c r="BM205" s="419">
        <f>(1+Sensitivity_FE_Order)*Training_Duration*$BH205</f>
        <v>0.2</v>
      </c>
      <c r="BN205" s="419">
        <f>(1+Sensitivity_FE_Order)*0</f>
        <v>0</v>
      </c>
      <c r="BO205" s="419">
        <f>(1+Sensitivity_FE_Order)*0</f>
        <v>0</v>
      </c>
      <c r="BP205" s="419">
        <f>(1+Sensitivity_FE_Order)*Training_Duration*$BH205</f>
        <v>0.2</v>
      </c>
      <c r="BQ205" s="419">
        <f>(1+Sensitivity_FE_Order)*Training_Duration*$BH205</f>
        <v>0.2</v>
      </c>
      <c r="BR205" s="419">
        <f>(1+Sensitivity_FE_Order)*0</f>
        <v>0</v>
      </c>
      <c r="BS205" s="263"/>
    </row>
    <row r="206" spans="1:71" ht="24" customHeight="1" outlineLevel="1" x14ac:dyDescent="0.2">
      <c r="A206" s="312"/>
      <c r="B206" s="546" t="s">
        <v>108</v>
      </c>
      <c r="C206" s="547" t="s">
        <v>170</v>
      </c>
      <c r="D206" s="515" t="s">
        <v>109</v>
      </c>
      <c r="E206" s="438" t="s">
        <v>166</v>
      </c>
      <c r="F206" s="414" t="s">
        <v>48</v>
      </c>
      <c r="G206" s="413" t="s">
        <v>47</v>
      </c>
      <c r="H206" s="511" t="s">
        <v>167</v>
      </c>
      <c r="I206" s="746"/>
      <c r="J206" s="436"/>
      <c r="K206" s="440"/>
      <c r="L206" s="440"/>
      <c r="M206" s="440"/>
      <c r="N206" s="264"/>
      <c r="O206" s="580" t="s">
        <v>218</v>
      </c>
      <c r="P206" s="264"/>
      <c r="Q206" s="264"/>
      <c r="R206" s="264"/>
      <c r="S206" s="419">
        <v>0</v>
      </c>
      <c r="T206" s="419">
        <v>0</v>
      </c>
      <c r="U206" s="419">
        <v>0</v>
      </c>
      <c r="V206" s="419">
        <v>0</v>
      </c>
      <c r="W206" s="419">
        <v>0</v>
      </c>
      <c r="X206" s="419">
        <v>0</v>
      </c>
      <c r="Y206" s="419">
        <v>0</v>
      </c>
      <c r="Z206" s="419">
        <v>0</v>
      </c>
      <c r="AA206" s="419">
        <v>0</v>
      </c>
      <c r="AB206" s="264"/>
      <c r="AC206" s="580" t="s">
        <v>218</v>
      </c>
      <c r="AD206" s="440"/>
      <c r="AE206" s="264"/>
      <c r="AF206" s="263"/>
      <c r="AG206" s="419">
        <v>0</v>
      </c>
      <c r="AH206" s="419">
        <v>0</v>
      </c>
      <c r="AI206" s="419">
        <v>0</v>
      </c>
      <c r="AJ206" s="419">
        <v>0</v>
      </c>
      <c r="AK206" s="419">
        <v>0</v>
      </c>
      <c r="AL206" s="419">
        <v>0</v>
      </c>
      <c r="AM206" s="419">
        <v>0</v>
      </c>
      <c r="AN206" s="419">
        <v>0</v>
      </c>
      <c r="AO206" s="419">
        <v>0</v>
      </c>
      <c r="AP206" s="264"/>
      <c r="AQ206" s="264"/>
      <c r="AR206" s="580" t="s">
        <v>218</v>
      </c>
      <c r="AS206" s="440"/>
      <c r="AT206" s="264"/>
      <c r="AU206" s="263"/>
      <c r="AV206" s="419">
        <v>0</v>
      </c>
      <c r="AW206" s="419">
        <v>0</v>
      </c>
      <c r="AX206" s="419">
        <v>0</v>
      </c>
      <c r="AY206" s="419">
        <v>0</v>
      </c>
      <c r="AZ206" s="419">
        <v>0</v>
      </c>
      <c r="BA206" s="419">
        <v>0</v>
      </c>
      <c r="BB206" s="419">
        <v>0</v>
      </c>
      <c r="BC206" s="419">
        <v>0</v>
      </c>
      <c r="BD206" s="419">
        <v>0</v>
      </c>
      <c r="BE206" s="264"/>
      <c r="BF206" s="580" t="s">
        <v>218</v>
      </c>
      <c r="BG206" s="440"/>
      <c r="BH206" s="264"/>
      <c r="BI206" s="263"/>
      <c r="BJ206" s="419">
        <v>0</v>
      </c>
      <c r="BK206" s="419">
        <v>0</v>
      </c>
      <c r="BL206" s="419">
        <v>0</v>
      </c>
      <c r="BM206" s="419">
        <v>0</v>
      </c>
      <c r="BN206" s="419">
        <v>0</v>
      </c>
      <c r="BO206" s="419">
        <v>0</v>
      </c>
      <c r="BP206" s="419">
        <v>0</v>
      </c>
      <c r="BQ206" s="419">
        <v>0</v>
      </c>
      <c r="BR206" s="419">
        <v>0</v>
      </c>
      <c r="BS206" s="263"/>
    </row>
    <row r="207" spans="1:71" ht="24" customHeight="1" outlineLevel="1" x14ac:dyDescent="0.2">
      <c r="A207" s="312"/>
      <c r="B207" s="437" t="s">
        <v>108</v>
      </c>
      <c r="C207" s="171" t="s">
        <v>188</v>
      </c>
      <c r="D207" s="432" t="s">
        <v>109</v>
      </c>
      <c r="E207" s="441" t="s">
        <v>168</v>
      </c>
      <c r="F207" s="433" t="s">
        <v>51</v>
      </c>
      <c r="G207" s="426" t="s">
        <v>50</v>
      </c>
      <c r="H207" s="517" t="s">
        <v>214</v>
      </c>
      <c r="I207" s="741" t="s">
        <v>257</v>
      </c>
      <c r="J207" s="436"/>
      <c r="K207" s="440"/>
      <c r="L207" s="440"/>
      <c r="M207" s="440"/>
      <c r="N207" s="264"/>
      <c r="O207" s="553" t="s">
        <v>207</v>
      </c>
      <c r="P207" s="264"/>
      <c r="Q207" s="374">
        <v>0.05</v>
      </c>
      <c r="R207" s="264"/>
      <c r="S207" s="419">
        <f>(1+Sensitivity_FE_Order)*(Complex_Process_Effort*(1+PM_Overhead)*$Q207)</f>
        <v>3.3000000000000003</v>
      </c>
      <c r="T207" s="419">
        <f>(1+Sensitivity_FE_Order)*(Complex_Process_Effort*(1+PM_Overhead)*$Q207)</f>
        <v>3.3000000000000003</v>
      </c>
      <c r="U207" s="419">
        <f>(1+Sensitivity_FE_Order)*(Complex_Process_Effort*(1+PM_Overhead)*$Q207)</f>
        <v>3.3000000000000003</v>
      </c>
      <c r="V207" s="419">
        <f>(1+Sensitivity_FE_Order)*(Complex_Process_Effort*(1+PM_Overhead)*$Q207)</f>
        <v>3.3000000000000003</v>
      </c>
      <c r="W207" s="419">
        <f>(1+Sensitivity_FE_Order)*0</f>
        <v>0</v>
      </c>
      <c r="X207" s="419">
        <f>(1+Sensitivity_FE_Order)*0</f>
        <v>0</v>
      </c>
      <c r="Y207" s="419">
        <f>(1+Sensitivity_FE_Order)*0</f>
        <v>0</v>
      </c>
      <c r="Z207" s="419">
        <f>(1+Sensitivity_FE_Order)*0</f>
        <v>0</v>
      </c>
      <c r="AA207" s="419">
        <f>(1+Sensitivity_FE_Order)*0</f>
        <v>0</v>
      </c>
      <c r="AB207" s="264"/>
      <c r="AC207" s="553" t="s">
        <v>207</v>
      </c>
      <c r="AD207" s="440"/>
      <c r="AE207" s="374">
        <v>0.05</v>
      </c>
      <c r="AF207" s="263"/>
      <c r="AG207" s="419">
        <f>(1+Sensitivity_FE_Order)*(Complex_Process_Effort*(1+PM_Overhead)*$AE207)</f>
        <v>3.3000000000000003</v>
      </c>
      <c r="AH207" s="419">
        <f>(1+Sensitivity_FE_Order)*(Complex_Process_Effort*(1+PM_Overhead)*$AE207)</f>
        <v>3.3000000000000003</v>
      </c>
      <c r="AI207" s="419">
        <f>(1+Sensitivity_FE_Order)*(Complex_Process_Effort*(1+PM_Overhead)*$AE207)</f>
        <v>3.3000000000000003</v>
      </c>
      <c r="AJ207" s="419">
        <f>(1+Sensitivity_FE_Order)*(Complex_Process_Effort*(1+PM_Overhead)*$AE207)</f>
        <v>3.3000000000000003</v>
      </c>
      <c r="AK207" s="419">
        <f>(1+Sensitivity_FE_Order)*0</f>
        <v>0</v>
      </c>
      <c r="AL207" s="419">
        <f>(1+Sensitivity_FE_Order)*0</f>
        <v>0</v>
      </c>
      <c r="AM207" s="419">
        <f>(1+Sensitivity_FE_Order)*0</f>
        <v>0</v>
      </c>
      <c r="AN207" s="419">
        <f>(1+Sensitivity_FE_Order)*0</f>
        <v>0</v>
      </c>
      <c r="AO207" s="419">
        <f>(1+Sensitivity_FE_Order)*0</f>
        <v>0</v>
      </c>
      <c r="AP207" s="264"/>
      <c r="AQ207" s="264"/>
      <c r="AR207" s="553" t="s">
        <v>207</v>
      </c>
      <c r="AS207" s="440"/>
      <c r="AT207" s="374">
        <v>0.05</v>
      </c>
      <c r="AU207" s="263"/>
      <c r="AV207" s="419">
        <f>(1+Sensitivity_FE_Order)*(Complex_Process_Effort*(1+PM_Overhead)*$AT207)</f>
        <v>3.3000000000000003</v>
      </c>
      <c r="AW207" s="419">
        <f>(1+Sensitivity_FE_Order)*(Complex_Process_Effort*(1+PM_Overhead)*$AT207)</f>
        <v>3.3000000000000003</v>
      </c>
      <c r="AX207" s="419">
        <f>(1+Sensitivity_FE_Order)*(Complex_Process_Effort*(1+PM_Overhead)*$AT207)</f>
        <v>3.3000000000000003</v>
      </c>
      <c r="AY207" s="419">
        <f>(1+Sensitivity_FE_Order)*(Complex_Process_Effort*(1+PM_Overhead)*$AT207)</f>
        <v>3.3000000000000003</v>
      </c>
      <c r="AZ207" s="419">
        <f>(1+Sensitivity_FE_Order)*0</f>
        <v>0</v>
      </c>
      <c r="BA207" s="419">
        <f>(1+Sensitivity_FE_Order)*0</f>
        <v>0</v>
      </c>
      <c r="BB207" s="419">
        <f>(1+Sensitivity_FE_Order)*((Complex_Process_Effort*(1+PM_Overhead)*$AT207))*TierC_TierB_ratio</f>
        <v>1.6500000000000001</v>
      </c>
      <c r="BC207" s="419">
        <f>(1+Sensitivity_FE_Order)*0</f>
        <v>0</v>
      </c>
      <c r="BD207" s="419">
        <f>BB207</f>
        <v>1.6500000000000001</v>
      </c>
      <c r="BE207" s="264"/>
      <c r="BF207" s="553" t="s">
        <v>207</v>
      </c>
      <c r="BG207" s="440"/>
      <c r="BH207" s="374">
        <v>0.05</v>
      </c>
      <c r="BI207" s="263"/>
      <c r="BJ207" s="419">
        <f>(1+Sensitivity_FE_Order)*(Complex_Process_Effort*(1+PM_Overhead)*$BH207)</f>
        <v>3.3000000000000003</v>
      </c>
      <c r="BK207" s="419">
        <f>(1+Sensitivity_FE_Order)*(Complex_Process_Effort*(1+PM_Overhead)*$BH207)</f>
        <v>3.3000000000000003</v>
      </c>
      <c r="BL207" s="419">
        <f>(1+Sensitivity_FE_Order)*(Complex_Process_Effort*(1+PM_Overhead)*$BH207)</f>
        <v>3.3000000000000003</v>
      </c>
      <c r="BM207" s="419">
        <f>(1+Sensitivity_FE_Order)*(Complex_Process_Effort*(1+PM_Overhead)*$BH207)</f>
        <v>3.3000000000000003</v>
      </c>
      <c r="BN207" s="419">
        <f>(1+Sensitivity_FE_Order)*0</f>
        <v>0</v>
      </c>
      <c r="BO207" s="419">
        <f>(1+Sensitivity_FE_Order)*0</f>
        <v>0</v>
      </c>
      <c r="BP207" s="419">
        <f>(1+Sensitivity_FE_Order)*((Complex_Process_Effort*(1+PM_Overhead)*$BH207))*TierC_TierB_ratio</f>
        <v>1.6500000000000001</v>
      </c>
      <c r="BQ207" s="419">
        <f>(1+Sensitivity_FE_Order)*0</f>
        <v>0</v>
      </c>
      <c r="BR207" s="419">
        <f>BP207</f>
        <v>1.6500000000000001</v>
      </c>
      <c r="BS207" s="263"/>
    </row>
    <row r="208" spans="1:71" ht="24" customHeight="1" outlineLevel="1" x14ac:dyDescent="0.2">
      <c r="A208" s="312"/>
      <c r="B208" s="437" t="s">
        <v>108</v>
      </c>
      <c r="C208" s="171" t="s">
        <v>188</v>
      </c>
      <c r="D208" s="432" t="s">
        <v>109</v>
      </c>
      <c r="E208" s="441" t="s">
        <v>168</v>
      </c>
      <c r="F208" s="433" t="s">
        <v>49</v>
      </c>
      <c r="G208" s="426" t="s">
        <v>47</v>
      </c>
      <c r="H208" s="517" t="s">
        <v>118</v>
      </c>
      <c r="I208" s="742"/>
      <c r="J208" s="436"/>
      <c r="K208" s="440"/>
      <c r="L208" s="440"/>
      <c r="M208" s="440"/>
      <c r="N208" s="264"/>
      <c r="O208" s="432"/>
      <c r="P208" s="264"/>
      <c r="Q208" s="264"/>
      <c r="R208" s="264"/>
      <c r="S208" s="374">
        <v>0.2</v>
      </c>
      <c r="T208" s="374">
        <v>0.2</v>
      </c>
      <c r="U208" s="374">
        <v>0.2</v>
      </c>
      <c r="V208" s="374">
        <v>0.2</v>
      </c>
      <c r="W208" s="374">
        <v>0.2</v>
      </c>
      <c r="X208" s="374">
        <v>0.2</v>
      </c>
      <c r="Y208" s="374">
        <v>0.2</v>
      </c>
      <c r="Z208" s="374">
        <v>0.2</v>
      </c>
      <c r="AA208" s="374">
        <v>0.2</v>
      </c>
      <c r="AB208" s="264"/>
      <c r="AC208" s="432"/>
      <c r="AD208" s="440"/>
      <c r="AE208" s="264"/>
      <c r="AF208" s="263"/>
      <c r="AG208" s="374">
        <v>0.2</v>
      </c>
      <c r="AH208" s="374">
        <v>0.2</v>
      </c>
      <c r="AI208" s="374">
        <v>0.2</v>
      </c>
      <c r="AJ208" s="374">
        <v>0.2</v>
      </c>
      <c r="AK208" s="374">
        <v>0.2</v>
      </c>
      <c r="AL208" s="374">
        <v>0.2</v>
      </c>
      <c r="AM208" s="374">
        <v>0.2</v>
      </c>
      <c r="AN208" s="374">
        <v>0.2</v>
      </c>
      <c r="AO208" s="374">
        <v>0.2</v>
      </c>
      <c r="AP208" s="264"/>
      <c r="AQ208" s="264"/>
      <c r="AR208" s="432"/>
      <c r="AS208" s="440"/>
      <c r="AT208" s="264"/>
      <c r="AU208" s="263"/>
      <c r="AV208" s="374">
        <v>0.2</v>
      </c>
      <c r="AW208" s="374">
        <v>0.2</v>
      </c>
      <c r="AX208" s="374">
        <v>0.2</v>
      </c>
      <c r="AY208" s="374">
        <v>0.2</v>
      </c>
      <c r="AZ208" s="374">
        <v>0.2</v>
      </c>
      <c r="BA208" s="374">
        <v>0.2</v>
      </c>
      <c r="BB208" s="374">
        <v>0.2</v>
      </c>
      <c r="BC208" s="374">
        <v>0.2</v>
      </c>
      <c r="BD208" s="374">
        <v>0.2</v>
      </c>
      <c r="BE208" s="264"/>
      <c r="BF208" s="432"/>
      <c r="BG208" s="440"/>
      <c r="BH208" s="264"/>
      <c r="BI208" s="263"/>
      <c r="BJ208" s="374">
        <v>0.2</v>
      </c>
      <c r="BK208" s="374">
        <v>0.2</v>
      </c>
      <c r="BL208" s="374">
        <v>0.2</v>
      </c>
      <c r="BM208" s="374">
        <v>0.2</v>
      </c>
      <c r="BN208" s="374">
        <v>0.2</v>
      </c>
      <c r="BO208" s="374">
        <v>0.2</v>
      </c>
      <c r="BP208" s="374">
        <v>0.2</v>
      </c>
      <c r="BQ208" s="374">
        <v>0.2</v>
      </c>
      <c r="BR208" s="374">
        <v>0.2</v>
      </c>
      <c r="BS208" s="263"/>
    </row>
    <row r="209" spans="1:71" ht="24" customHeight="1" outlineLevel="1" x14ac:dyDescent="0.2">
      <c r="A209" s="312"/>
      <c r="B209" s="437" t="s">
        <v>108</v>
      </c>
      <c r="C209" s="171" t="s">
        <v>188</v>
      </c>
      <c r="D209" s="432" t="s">
        <v>109</v>
      </c>
      <c r="E209" s="441" t="s">
        <v>168</v>
      </c>
      <c r="F209" s="433" t="s">
        <v>51</v>
      </c>
      <c r="G209" s="426" t="s">
        <v>50</v>
      </c>
      <c r="H209" s="517" t="s">
        <v>117</v>
      </c>
      <c r="I209" s="742"/>
      <c r="J209" s="436"/>
      <c r="K209" s="440"/>
      <c r="L209" s="440"/>
      <c r="M209" s="440"/>
      <c r="N209" s="264"/>
      <c r="O209" s="562" t="s">
        <v>169</v>
      </c>
      <c r="P209" s="264"/>
      <c r="Q209" s="374">
        <v>0.1</v>
      </c>
      <c r="R209" s="264"/>
      <c r="S209" s="419">
        <f>(1+Sensitivity_FE_Order)*Training_Duration*$Q209</f>
        <v>0.2</v>
      </c>
      <c r="T209" s="419">
        <f>(1+Sensitivity_FE_Order)*Training_Duration*$Q209</f>
        <v>0.2</v>
      </c>
      <c r="U209" s="419">
        <f>(1+Sensitivity_FE_Order)*Training_Duration*$Q209</f>
        <v>0.2</v>
      </c>
      <c r="V209" s="419">
        <f>(1+Sensitivity_FE_Order)*Training_Duration*$Q209</f>
        <v>0.2</v>
      </c>
      <c r="W209" s="419">
        <f>(1+Sensitivity_FE_Order)*0</f>
        <v>0</v>
      </c>
      <c r="X209" s="419">
        <f>(1+Sensitivity_FE_Order)*0</f>
        <v>0</v>
      </c>
      <c r="Y209" s="419">
        <f>(1+Sensitivity_FE_Order)*Training_Duration*$Q209</f>
        <v>0.2</v>
      </c>
      <c r="Z209" s="419">
        <f>(1+Sensitivity_FE_Order)*Training_Duration*$Q209</f>
        <v>0.2</v>
      </c>
      <c r="AA209" s="419">
        <f>(1+Sensitivity_FE_Order)*0</f>
        <v>0</v>
      </c>
      <c r="AB209" s="264"/>
      <c r="AC209" s="562" t="s">
        <v>169</v>
      </c>
      <c r="AD209" s="440"/>
      <c r="AE209" s="374">
        <v>0.1</v>
      </c>
      <c r="AF209" s="263"/>
      <c r="AG209" s="419">
        <f>(1+Sensitivity_FE_Order)*Training_Duration*$AE209</f>
        <v>0.2</v>
      </c>
      <c r="AH209" s="419">
        <f>(1+Sensitivity_FE_Order)*Training_Duration*$AE209</f>
        <v>0.2</v>
      </c>
      <c r="AI209" s="419">
        <f>(1+Sensitivity_FE_Order)*Training_Duration*$AE209</f>
        <v>0.2</v>
      </c>
      <c r="AJ209" s="419">
        <f>(1+Sensitivity_FE_Order)*Training_Duration*$AE209</f>
        <v>0.2</v>
      </c>
      <c r="AK209" s="419">
        <f>(1+Sensitivity_FE_Order)*0</f>
        <v>0</v>
      </c>
      <c r="AL209" s="419">
        <f>(1+Sensitivity_FE_Order)*0</f>
        <v>0</v>
      </c>
      <c r="AM209" s="419">
        <f>(1+Sensitivity_FE_Order)*Training_Duration*$AE209</f>
        <v>0.2</v>
      </c>
      <c r="AN209" s="419">
        <f>(1+Sensitivity_FE_Order)*Training_Duration*$AE209</f>
        <v>0.2</v>
      </c>
      <c r="AO209" s="419">
        <f>(1+Sensitivity_FE_Order)*0</f>
        <v>0</v>
      </c>
      <c r="AP209" s="264"/>
      <c r="AQ209" s="264"/>
      <c r="AR209" s="562" t="s">
        <v>169</v>
      </c>
      <c r="AS209" s="440"/>
      <c r="AT209" s="374">
        <v>0.1</v>
      </c>
      <c r="AU209" s="263"/>
      <c r="AV209" s="419">
        <f>(1+Sensitivity_FE_Order)*Training_Duration*$AT209</f>
        <v>0.2</v>
      </c>
      <c r="AW209" s="419">
        <f>(1+Sensitivity_FE_Order)*Training_Duration*$AT209</f>
        <v>0.2</v>
      </c>
      <c r="AX209" s="419">
        <f>(1+Sensitivity_FE_Order)*Training_Duration*$AT209</f>
        <v>0.2</v>
      </c>
      <c r="AY209" s="419">
        <f>(1+Sensitivity_FE_Order)*Training_Duration*$AT209</f>
        <v>0.2</v>
      </c>
      <c r="AZ209" s="419">
        <f>(1+Sensitivity_FE_Order)*0</f>
        <v>0</v>
      </c>
      <c r="BA209" s="419">
        <f>(1+Sensitivity_FE_Order)*0</f>
        <v>0</v>
      </c>
      <c r="BB209" s="419">
        <f>(1+Sensitivity_FE_Order)*Training_Duration*$AT209</f>
        <v>0.2</v>
      </c>
      <c r="BC209" s="419">
        <f>(1+Sensitivity_FE_Order)*Training_Duration*$AT209</f>
        <v>0.2</v>
      </c>
      <c r="BD209" s="419">
        <f>(1+Sensitivity_FE_Order)*0</f>
        <v>0</v>
      </c>
      <c r="BE209" s="264"/>
      <c r="BF209" s="578" t="s">
        <v>169</v>
      </c>
      <c r="BG209" s="440"/>
      <c r="BH209" s="374">
        <v>0.1</v>
      </c>
      <c r="BI209" s="263"/>
      <c r="BJ209" s="419">
        <f>(1+Sensitivity_FE_Order)*Training_Duration*$BH209</f>
        <v>0.2</v>
      </c>
      <c r="BK209" s="419">
        <f>(1+Sensitivity_FE_Order)*Training_Duration*$BH209</f>
        <v>0.2</v>
      </c>
      <c r="BL209" s="419">
        <f>(1+Sensitivity_FE_Order)*Training_Duration*$BH209</f>
        <v>0.2</v>
      </c>
      <c r="BM209" s="419">
        <f>(1+Sensitivity_FE_Order)*Training_Duration*$BH209</f>
        <v>0.2</v>
      </c>
      <c r="BN209" s="419">
        <f>(1+Sensitivity_FE_Order)*0</f>
        <v>0</v>
      </c>
      <c r="BO209" s="419">
        <f>(1+Sensitivity_FE_Order)*0</f>
        <v>0</v>
      </c>
      <c r="BP209" s="419">
        <f>(1+Sensitivity_FE_Order)*Training_Duration*$BH209</f>
        <v>0.2</v>
      </c>
      <c r="BQ209" s="419">
        <f>(1+Sensitivity_FE_Order)*Training_Duration*$BH209</f>
        <v>0.2</v>
      </c>
      <c r="BR209" s="419">
        <f>(1+Sensitivity_FE_Order)*0</f>
        <v>0</v>
      </c>
      <c r="BS209" s="263"/>
    </row>
    <row r="210" spans="1:71" ht="24" customHeight="1" outlineLevel="1" x14ac:dyDescent="0.2">
      <c r="A210" s="312"/>
      <c r="B210" s="437" t="s">
        <v>108</v>
      </c>
      <c r="C210" s="171" t="s">
        <v>188</v>
      </c>
      <c r="D210" s="432" t="s">
        <v>109</v>
      </c>
      <c r="E210" s="441" t="s">
        <v>168</v>
      </c>
      <c r="F210" s="433" t="s">
        <v>48</v>
      </c>
      <c r="G210" s="426" t="s">
        <v>50</v>
      </c>
      <c r="H210" s="517" t="s">
        <v>183</v>
      </c>
      <c r="I210" s="743"/>
      <c r="J210" s="436"/>
      <c r="K210" s="440"/>
      <c r="L210" s="440"/>
      <c r="M210" s="440"/>
      <c r="N210" s="264"/>
      <c r="O210" s="562" t="s">
        <v>218</v>
      </c>
      <c r="P210" s="264"/>
      <c r="Q210" s="264"/>
      <c r="R210" s="264"/>
      <c r="S210" s="419">
        <v>0</v>
      </c>
      <c r="T210" s="419">
        <v>0</v>
      </c>
      <c r="U210" s="419">
        <v>0</v>
      </c>
      <c r="V210" s="419">
        <v>0</v>
      </c>
      <c r="W210" s="419">
        <v>0</v>
      </c>
      <c r="X210" s="419">
        <v>0</v>
      </c>
      <c r="Y210" s="419">
        <v>0</v>
      </c>
      <c r="Z210" s="419">
        <v>0</v>
      </c>
      <c r="AA210" s="419">
        <v>0</v>
      </c>
      <c r="AB210" s="264"/>
      <c r="AC210" s="562" t="s">
        <v>218</v>
      </c>
      <c r="AD210" s="440"/>
      <c r="AE210" s="264"/>
      <c r="AF210" s="263"/>
      <c r="AG210" s="419">
        <v>0</v>
      </c>
      <c r="AH210" s="419">
        <v>0</v>
      </c>
      <c r="AI210" s="419">
        <v>0</v>
      </c>
      <c r="AJ210" s="419">
        <v>0</v>
      </c>
      <c r="AK210" s="419">
        <v>0</v>
      </c>
      <c r="AL210" s="419">
        <v>0</v>
      </c>
      <c r="AM210" s="419">
        <v>0</v>
      </c>
      <c r="AN210" s="419">
        <v>0</v>
      </c>
      <c r="AO210" s="419">
        <v>0</v>
      </c>
      <c r="AP210" s="264"/>
      <c r="AQ210" s="264"/>
      <c r="AR210" s="562" t="s">
        <v>218</v>
      </c>
      <c r="AS210" s="440"/>
      <c r="AT210" s="264"/>
      <c r="AU210" s="263"/>
      <c r="AV210" s="419">
        <v>0</v>
      </c>
      <c r="AW210" s="419">
        <v>0</v>
      </c>
      <c r="AX210" s="419">
        <v>0</v>
      </c>
      <c r="AY210" s="419">
        <v>0</v>
      </c>
      <c r="AZ210" s="419">
        <v>0</v>
      </c>
      <c r="BA210" s="419">
        <v>0</v>
      </c>
      <c r="BB210" s="419">
        <v>0</v>
      </c>
      <c r="BC210" s="419">
        <v>0</v>
      </c>
      <c r="BD210" s="419">
        <v>0</v>
      </c>
      <c r="BE210" s="264"/>
      <c r="BF210" s="562" t="s">
        <v>218</v>
      </c>
      <c r="BG210" s="440"/>
      <c r="BH210" s="264"/>
      <c r="BI210" s="263"/>
      <c r="BJ210" s="419">
        <v>0</v>
      </c>
      <c r="BK210" s="419">
        <v>0</v>
      </c>
      <c r="BL210" s="419">
        <v>0</v>
      </c>
      <c r="BM210" s="419">
        <v>0</v>
      </c>
      <c r="BN210" s="419">
        <v>0</v>
      </c>
      <c r="BO210" s="419">
        <v>0</v>
      </c>
      <c r="BP210" s="419">
        <v>0</v>
      </c>
      <c r="BQ210" s="419">
        <v>0</v>
      </c>
      <c r="BR210" s="419">
        <v>0</v>
      </c>
      <c r="BS210" s="263"/>
    </row>
    <row r="211" spans="1:71" s="139" customFormat="1" ht="24" customHeight="1" outlineLevel="1" x14ac:dyDescent="0.2">
      <c r="A211" s="520"/>
      <c r="B211" s="521"/>
      <c r="C211" s="522"/>
      <c r="D211" s="560"/>
      <c r="E211" s="98"/>
      <c r="F211" s="523"/>
      <c r="G211" s="488"/>
      <c r="H211" s="484" t="s">
        <v>205</v>
      </c>
      <c r="I211" s="358"/>
      <c r="J211" s="436"/>
      <c r="K211" s="440"/>
      <c r="L211" s="440"/>
      <c r="M211" s="440"/>
      <c r="N211" s="265"/>
      <c r="O211" s="523"/>
      <c r="P211" s="265"/>
      <c r="Q211" s="602">
        <f>SUMIF($H$187:$H$210,$H$187,Q$187:Q$210)</f>
        <v>1</v>
      </c>
      <c r="R211" s="264"/>
      <c r="S211" s="561">
        <f>SUMIF($H$187:$H$210,$H$187,S$187:S$210)</f>
        <v>65.999999999999986</v>
      </c>
      <c r="T211" s="561">
        <f t="shared" ref="T211:AA211" si="212">SUMIF($H$187:$H$210,$H$187,T$187:T$210)</f>
        <v>65.999999999999986</v>
      </c>
      <c r="U211" s="561">
        <f t="shared" si="212"/>
        <v>65.999999999999986</v>
      </c>
      <c r="V211" s="561">
        <f t="shared" si="212"/>
        <v>65.999999999999986</v>
      </c>
      <c r="W211" s="561">
        <f t="shared" si="212"/>
        <v>0</v>
      </c>
      <c r="X211" s="561">
        <f t="shared" si="212"/>
        <v>0</v>
      </c>
      <c r="Y211" s="561">
        <f t="shared" si="212"/>
        <v>3.3000000000000003</v>
      </c>
      <c r="Z211" s="561">
        <f t="shared" si="212"/>
        <v>0</v>
      </c>
      <c r="AA211" s="561">
        <f t="shared" si="212"/>
        <v>3.3000000000000003</v>
      </c>
      <c r="AB211" s="265"/>
      <c r="AC211" s="523"/>
      <c r="AD211" s="440"/>
      <c r="AE211" s="602">
        <f>SUMIF($H$187:$H$210,$H$187,AE$187:AE$210)</f>
        <v>1</v>
      </c>
      <c r="AF211" s="264"/>
      <c r="AG211" s="561">
        <f>SUMIF($H$187:$H$210,$H$187,AG$187:AG$210)</f>
        <v>65.999999999999986</v>
      </c>
      <c r="AH211" s="561">
        <f t="shared" ref="AH211:AO211" si="213">SUMIF($H$187:$H$210,$H$187,AH$187:AH$210)</f>
        <v>65.999999999999986</v>
      </c>
      <c r="AI211" s="561">
        <f t="shared" si="213"/>
        <v>65.999999999999986</v>
      </c>
      <c r="AJ211" s="561">
        <f t="shared" si="213"/>
        <v>65.999999999999986</v>
      </c>
      <c r="AK211" s="561">
        <f t="shared" si="213"/>
        <v>0</v>
      </c>
      <c r="AL211" s="561">
        <f t="shared" si="213"/>
        <v>0</v>
      </c>
      <c r="AM211" s="561">
        <f t="shared" si="213"/>
        <v>3.3000000000000003</v>
      </c>
      <c r="AN211" s="561">
        <f t="shared" si="213"/>
        <v>0</v>
      </c>
      <c r="AO211" s="561">
        <f t="shared" si="213"/>
        <v>3.3000000000000003</v>
      </c>
      <c r="AP211" s="265"/>
      <c r="AQ211" s="265"/>
      <c r="AR211" s="523"/>
      <c r="AS211" s="440"/>
      <c r="AT211" s="602">
        <f>SUMIF($H$187:$H$210,$H$187,AT$187:AT$210)</f>
        <v>1</v>
      </c>
      <c r="AU211" s="264"/>
      <c r="AV211" s="561">
        <f>SUMIF($H$187:$H$210,$H$187,AV$187:AV$210)</f>
        <v>65.999999999999986</v>
      </c>
      <c r="AW211" s="561">
        <f t="shared" ref="AW211:BD211" si="214">SUMIF($H$187:$H$210,$H$187,AW$187:AW$210)</f>
        <v>65.999999999999986</v>
      </c>
      <c r="AX211" s="561">
        <f t="shared" si="214"/>
        <v>65.999999999999986</v>
      </c>
      <c r="AY211" s="561">
        <f t="shared" si="214"/>
        <v>65.999999999999986</v>
      </c>
      <c r="AZ211" s="561">
        <f t="shared" si="214"/>
        <v>0</v>
      </c>
      <c r="BA211" s="561">
        <f t="shared" si="214"/>
        <v>6.6000000000000005</v>
      </c>
      <c r="BB211" s="561">
        <f t="shared" si="214"/>
        <v>32.999999999999993</v>
      </c>
      <c r="BC211" s="561">
        <f t="shared" si="214"/>
        <v>0</v>
      </c>
      <c r="BD211" s="561">
        <f t="shared" si="214"/>
        <v>32.999999999999993</v>
      </c>
      <c r="BE211" s="265"/>
      <c r="BF211" s="523"/>
      <c r="BG211" s="440"/>
      <c r="BH211" s="602">
        <f>SUMIF($H$187:$H$210,$H$187,BH$187:BH$210)</f>
        <v>1</v>
      </c>
      <c r="BI211" s="264"/>
      <c r="BJ211" s="561">
        <f>SUMIF($H$187:$H$210,$H$187,BJ$187:BJ$210)</f>
        <v>65.999999999999986</v>
      </c>
      <c r="BK211" s="561">
        <f t="shared" ref="BK211:BR211" si="215">SUMIF($H$187:$H$210,$H$187,BK$187:BK$210)</f>
        <v>65.999999999999986</v>
      </c>
      <c r="BL211" s="561">
        <f t="shared" si="215"/>
        <v>65.999999999999986</v>
      </c>
      <c r="BM211" s="561">
        <f t="shared" si="215"/>
        <v>65.999999999999986</v>
      </c>
      <c r="BN211" s="561">
        <f t="shared" si="215"/>
        <v>0</v>
      </c>
      <c r="BO211" s="561">
        <f t="shared" si="215"/>
        <v>0</v>
      </c>
      <c r="BP211" s="561">
        <f t="shared" si="215"/>
        <v>32.999999999999993</v>
      </c>
      <c r="BQ211" s="561">
        <f t="shared" si="215"/>
        <v>0</v>
      </c>
      <c r="BR211" s="561">
        <f t="shared" si="215"/>
        <v>32.999999999999993</v>
      </c>
      <c r="BS211" s="265"/>
    </row>
    <row r="212" spans="1:71" s="139" customFormat="1" ht="24" customHeight="1" outlineLevel="1" x14ac:dyDescent="0.2">
      <c r="A212" s="520"/>
      <c r="B212" s="521"/>
      <c r="C212" s="522"/>
      <c r="D212" s="560"/>
      <c r="E212" s="98"/>
      <c r="F212" s="523"/>
      <c r="G212" s="488"/>
      <c r="H212" s="484" t="s">
        <v>216</v>
      </c>
      <c r="I212" s="358"/>
      <c r="J212" s="436"/>
      <c r="K212" s="440"/>
      <c r="L212" s="440"/>
      <c r="M212" s="440"/>
      <c r="N212" s="265"/>
      <c r="O212" s="523"/>
      <c r="P212" s="265"/>
      <c r="Q212" s="602">
        <f>SUMIF($H$187:$H$210,$H$189,Q$187:Q$210)</f>
        <v>1</v>
      </c>
      <c r="R212" s="264"/>
      <c r="S212" s="561">
        <f>SUMIF($H$187:$H$210,$H$189,S$187:S$210)</f>
        <v>2</v>
      </c>
      <c r="T212" s="561">
        <f t="shared" ref="T212:AA212" si="216">SUMIF($H$187:$H$210,$H$189,T$187:T$210)</f>
        <v>2</v>
      </c>
      <c r="U212" s="561">
        <f t="shared" si="216"/>
        <v>2</v>
      </c>
      <c r="V212" s="561">
        <f t="shared" si="216"/>
        <v>2</v>
      </c>
      <c r="W212" s="561">
        <f t="shared" si="216"/>
        <v>0</v>
      </c>
      <c r="X212" s="561">
        <f t="shared" si="216"/>
        <v>0</v>
      </c>
      <c r="Y212" s="561">
        <f t="shared" si="216"/>
        <v>2</v>
      </c>
      <c r="Z212" s="561">
        <f t="shared" si="216"/>
        <v>2</v>
      </c>
      <c r="AA212" s="561">
        <f t="shared" si="216"/>
        <v>0</v>
      </c>
      <c r="AB212" s="265"/>
      <c r="AC212" s="523"/>
      <c r="AD212" s="440"/>
      <c r="AE212" s="602">
        <f>SUMIF($H$187:$H$210,$H$189,AE$187:AE$210)</f>
        <v>1</v>
      </c>
      <c r="AF212" s="264"/>
      <c r="AG212" s="561">
        <f>SUMIF($H$187:$H$210,$H$189,AG$187:AG$210)</f>
        <v>2</v>
      </c>
      <c r="AH212" s="561">
        <f t="shared" ref="AH212:AO212" si="217">SUMIF($H$187:$H$210,$H$189,AH$187:AH$210)</f>
        <v>2</v>
      </c>
      <c r="AI212" s="561">
        <f t="shared" si="217"/>
        <v>2</v>
      </c>
      <c r="AJ212" s="561">
        <f t="shared" si="217"/>
        <v>2</v>
      </c>
      <c r="AK212" s="561">
        <f t="shared" si="217"/>
        <v>0</v>
      </c>
      <c r="AL212" s="561">
        <f t="shared" si="217"/>
        <v>0</v>
      </c>
      <c r="AM212" s="561">
        <f t="shared" si="217"/>
        <v>2</v>
      </c>
      <c r="AN212" s="561">
        <f t="shared" si="217"/>
        <v>2</v>
      </c>
      <c r="AO212" s="561">
        <f t="shared" si="217"/>
        <v>0</v>
      </c>
      <c r="AP212" s="265"/>
      <c r="AQ212" s="265"/>
      <c r="AR212" s="523"/>
      <c r="AS212" s="440"/>
      <c r="AT212" s="602">
        <f>SUMIF($H$187:$H$210,$H$189,AT$187:AT$210)</f>
        <v>1</v>
      </c>
      <c r="AU212" s="264"/>
      <c r="AV212" s="561">
        <f>SUMIF($H$187:$H$210,$H$189,AV$187:AV$210)</f>
        <v>2</v>
      </c>
      <c r="AW212" s="561">
        <f t="shared" ref="AW212:BD212" si="218">SUMIF($H$187:$H$210,$H$189,AW$187:AW$210)</f>
        <v>2</v>
      </c>
      <c r="AX212" s="561">
        <f t="shared" si="218"/>
        <v>2</v>
      </c>
      <c r="AY212" s="561">
        <f t="shared" si="218"/>
        <v>2</v>
      </c>
      <c r="AZ212" s="561">
        <f t="shared" si="218"/>
        <v>0</v>
      </c>
      <c r="BA212" s="561">
        <f t="shared" si="218"/>
        <v>0</v>
      </c>
      <c r="BB212" s="561">
        <f t="shared" si="218"/>
        <v>2</v>
      </c>
      <c r="BC212" s="561">
        <f t="shared" si="218"/>
        <v>2</v>
      </c>
      <c r="BD212" s="561">
        <f t="shared" si="218"/>
        <v>0</v>
      </c>
      <c r="BE212" s="265"/>
      <c r="BF212" s="523"/>
      <c r="BG212" s="440"/>
      <c r="BH212" s="602">
        <f>SUMIF($H$187:$H$210,$H$189,BH$187:BH$210)</f>
        <v>1</v>
      </c>
      <c r="BI212" s="264"/>
      <c r="BJ212" s="561">
        <f>SUMIF($H$187:$H$210,$H$189,BJ$187:BJ$210)</f>
        <v>2</v>
      </c>
      <c r="BK212" s="561">
        <f t="shared" ref="BK212:BR212" si="219">SUMIF($H$187:$H$210,$H$189,BK$187:BK$210)</f>
        <v>2</v>
      </c>
      <c r="BL212" s="561">
        <f t="shared" si="219"/>
        <v>2</v>
      </c>
      <c r="BM212" s="561">
        <f t="shared" si="219"/>
        <v>2</v>
      </c>
      <c r="BN212" s="561">
        <f t="shared" si="219"/>
        <v>0</v>
      </c>
      <c r="BO212" s="561">
        <f t="shared" si="219"/>
        <v>0</v>
      </c>
      <c r="BP212" s="561">
        <f t="shared" si="219"/>
        <v>2</v>
      </c>
      <c r="BQ212" s="561">
        <f t="shared" si="219"/>
        <v>2</v>
      </c>
      <c r="BR212" s="561">
        <f t="shared" si="219"/>
        <v>0</v>
      </c>
      <c r="BS212" s="265"/>
    </row>
    <row r="213" spans="1:71" s="139" customFormat="1" ht="24" customHeight="1" outlineLevel="1" x14ac:dyDescent="0.2">
      <c r="A213" s="520"/>
      <c r="B213" s="521"/>
      <c r="C213" s="522"/>
      <c r="D213" s="560"/>
      <c r="E213" s="98"/>
      <c r="F213" s="523"/>
      <c r="G213" s="488"/>
      <c r="H213" s="523"/>
      <c r="I213" s="358"/>
      <c r="J213" s="436"/>
      <c r="K213" s="440"/>
      <c r="L213" s="440"/>
      <c r="M213" s="440"/>
      <c r="N213" s="265"/>
      <c r="O213" s="523"/>
      <c r="P213" s="265"/>
      <c r="Q213" s="265"/>
      <c r="R213" s="265"/>
      <c r="S213" s="527"/>
      <c r="T213" s="527"/>
      <c r="U213" s="527"/>
      <c r="V213" s="527"/>
      <c r="W213" s="527"/>
      <c r="X213" s="527"/>
      <c r="Y213" s="527"/>
      <c r="Z213" s="527"/>
      <c r="AA213" s="527"/>
      <c r="AB213" s="265"/>
      <c r="AC213" s="523"/>
      <c r="AD213" s="440"/>
      <c r="AE213" s="265"/>
      <c r="AF213" s="265"/>
      <c r="AG213" s="527"/>
      <c r="AH213" s="527"/>
      <c r="AI213" s="527"/>
      <c r="AJ213" s="527"/>
      <c r="AK213" s="527"/>
      <c r="AL213" s="527"/>
      <c r="AM213" s="527"/>
      <c r="AN213" s="527"/>
      <c r="AO213" s="527"/>
      <c r="AP213" s="265"/>
      <c r="AQ213" s="265"/>
      <c r="AR213" s="523"/>
      <c r="AS213" s="440"/>
      <c r="AT213" s="265"/>
      <c r="AU213" s="265"/>
      <c r="AV213" s="527"/>
      <c r="AW213" s="527"/>
      <c r="AX213" s="527"/>
      <c r="AY213" s="527"/>
      <c r="AZ213" s="527"/>
      <c r="BA213" s="527"/>
      <c r="BB213" s="527"/>
      <c r="BC213" s="527"/>
      <c r="BD213" s="527"/>
      <c r="BE213" s="265"/>
      <c r="BF213" s="523"/>
      <c r="BG213" s="440"/>
      <c r="BH213" s="265"/>
      <c r="BI213" s="265"/>
      <c r="BJ213" s="527"/>
      <c r="BK213" s="527"/>
      <c r="BL213" s="527"/>
      <c r="BM213" s="527"/>
      <c r="BN213" s="527"/>
      <c r="BO213" s="527"/>
      <c r="BP213" s="527"/>
      <c r="BQ213" s="527"/>
      <c r="BR213" s="527"/>
      <c r="BS213" s="265"/>
    </row>
    <row r="214" spans="1:71" ht="24" customHeight="1" outlineLevel="1" x14ac:dyDescent="0.2">
      <c r="A214" s="312"/>
      <c r="B214" s="546" t="s">
        <v>108</v>
      </c>
      <c r="C214" s="547" t="s">
        <v>171</v>
      </c>
      <c r="D214" s="528" t="s">
        <v>111</v>
      </c>
      <c r="E214" s="529" t="s">
        <v>140</v>
      </c>
      <c r="F214" s="566" t="s">
        <v>61</v>
      </c>
      <c r="G214" s="528" t="s">
        <v>50</v>
      </c>
      <c r="H214" s="530" t="s">
        <v>152</v>
      </c>
      <c r="I214" s="732" t="s">
        <v>241</v>
      </c>
      <c r="J214" s="453"/>
      <c r="K214" s="454"/>
      <c r="L214" s="454"/>
      <c r="M214" s="454"/>
      <c r="N214" s="264"/>
      <c r="O214" s="579" t="s">
        <v>228</v>
      </c>
      <c r="P214" s="264"/>
      <c r="Q214" s="374">
        <v>0.05</v>
      </c>
      <c r="R214" s="264"/>
      <c r="S214" s="419">
        <f>(1+Sensitivity_FE_Order)*(FE_vComplex_Sys_Effort*(1+PM_Overhead)*$Q214)</f>
        <v>8.25</v>
      </c>
      <c r="T214" s="419">
        <f>(1+Sensitivity_FE_Order)*(FE_vComplex_Sys_Effort*(1+PM_Overhead)*$Q214)</f>
        <v>8.25</v>
      </c>
      <c r="U214" s="419">
        <f>(1+Sensitivity_FE_Order)*(FE_vComplex_Sys_Effort*(1+PM_Overhead)*$Q214)</f>
        <v>8.25</v>
      </c>
      <c r="V214" s="419">
        <f>(1+Sensitivity_FE_Order)*(FE_vComplex_Sys_Effort*(1+PM_Overhead)*$Q214)</f>
        <v>8.25</v>
      </c>
      <c r="W214" s="419">
        <f>(1+Sensitivity_FE_Order)*0</f>
        <v>0</v>
      </c>
      <c r="X214" s="419">
        <f>(1+Sensitivity_FE_Order)*0</f>
        <v>0</v>
      </c>
      <c r="Y214" s="419">
        <f>(1+Sensitivity_FE_Order)*(FE_vComplex_Sys_Effort*(1+PM_Overhead)*$Q214)*TierC_TierB_ratio</f>
        <v>4.125</v>
      </c>
      <c r="Z214" s="419">
        <f>(1+Sensitivity_FE_Order)*0</f>
        <v>0</v>
      </c>
      <c r="AA214" s="419">
        <f>Y214</f>
        <v>4.125</v>
      </c>
      <c r="AB214" s="264"/>
      <c r="AC214" s="579" t="s">
        <v>228</v>
      </c>
      <c r="AD214" s="454"/>
      <c r="AE214" s="374">
        <v>0.05</v>
      </c>
      <c r="AF214" s="263"/>
      <c r="AG214" s="419">
        <f>(1+Sensitivity_FE_Order)*(FE_vComplex_Sys_Effort*(1+PM_Overhead)*$AE214)</f>
        <v>8.25</v>
      </c>
      <c r="AH214" s="419">
        <f>(1+Sensitivity_FE_Order)*(FE_vComplex_Sys_Effort*(1+PM_Overhead)*$AE214)</f>
        <v>8.25</v>
      </c>
      <c r="AI214" s="419">
        <f>(1+Sensitivity_FE_Order)*(FE_vComplex_Sys_Effort*(1+PM_Overhead)*$AE214)</f>
        <v>8.25</v>
      </c>
      <c r="AJ214" s="419">
        <f>(1+Sensitivity_FE_Order)*(FE_vComplex_Sys_Effort*(1+PM_Overhead)*$AE214)</f>
        <v>8.25</v>
      </c>
      <c r="AK214" s="419">
        <f>(1+Sensitivity_FE_Order)*0</f>
        <v>0</v>
      </c>
      <c r="AL214" s="419">
        <f>(1+Sensitivity_FE_Order)*0</f>
        <v>0</v>
      </c>
      <c r="AM214" s="419">
        <f>(1+Sensitivity_FE_Order)*(FE_vComplex_Sys_Effort*(1+PM_Overhead)*$AE214)*TierC_TierB_ratio</f>
        <v>4.125</v>
      </c>
      <c r="AN214" s="419">
        <f>(1+Sensitivity_FE_Order)*0</f>
        <v>0</v>
      </c>
      <c r="AO214" s="419">
        <f>AM214</f>
        <v>4.125</v>
      </c>
      <c r="AP214" s="264"/>
      <c r="AQ214" s="264"/>
      <c r="AR214" s="579" t="s">
        <v>228</v>
      </c>
      <c r="AS214" s="454"/>
      <c r="AT214" s="374">
        <v>0.05</v>
      </c>
      <c r="AU214" s="263"/>
      <c r="AV214" s="419">
        <f>(1+Sensitivity_FE_Order)*((FE_vComplex_Sys_Effort*(1+PM_Overhead)*$AT214))</f>
        <v>8.25</v>
      </c>
      <c r="AW214" s="419">
        <f>(1+Sensitivity_FE_Order)*((FE_vComplex_Sys_Effort*(1+PM_Overhead)*$AT214))</f>
        <v>8.25</v>
      </c>
      <c r="AX214" s="419">
        <f>(1+Sensitivity_FE_Order)*((FE_vComplex_Sys_Effort*(1+PM_Overhead)*$AT214))</f>
        <v>8.25</v>
      </c>
      <c r="AY214" s="419">
        <f>(1+Sensitivity_FE_Order)*((FE_vComplex_Sys_Effort*(1+PM_Overhead)*$AT214))</f>
        <v>8.25</v>
      </c>
      <c r="AZ214" s="419">
        <f>(1+Sensitivity_FE_Order)*0</f>
        <v>0</v>
      </c>
      <c r="BA214" s="419">
        <f>(1+Sensitivity_FE_Order)*0</f>
        <v>0</v>
      </c>
      <c r="BB214" s="419">
        <f>(1+Sensitivity_FE_Order)*((FE_vComplex_Sys_Effort*(1+PM_Overhead)*$AT214))*TierC_TierB_ratio</f>
        <v>4.125</v>
      </c>
      <c r="BC214" s="419">
        <f>(1+Sensitivity_FE_Order)*0</f>
        <v>0</v>
      </c>
      <c r="BD214" s="419">
        <f>BB214</f>
        <v>4.125</v>
      </c>
      <c r="BE214" s="264"/>
      <c r="BF214" s="579" t="s">
        <v>228</v>
      </c>
      <c r="BG214" s="454"/>
      <c r="BH214" s="374">
        <v>0.05</v>
      </c>
      <c r="BI214" s="263"/>
      <c r="BJ214" s="419">
        <f>(1+Sensitivity_FE_Order)*((FE_vComplex_Sys_Effort*(1+PM_Overhead)*$BH214))</f>
        <v>8.25</v>
      </c>
      <c r="BK214" s="419">
        <f>(1+Sensitivity_FE_Order)*((FE_vComplex_Sys_Effort*(1+PM_Overhead)*$BH214))</f>
        <v>8.25</v>
      </c>
      <c r="BL214" s="419">
        <f>(1+Sensitivity_FE_Order)*((FE_vComplex_Sys_Effort*(1+PM_Overhead)*$BH214))</f>
        <v>8.25</v>
      </c>
      <c r="BM214" s="419">
        <f>(1+Sensitivity_FE_Order)*((FE_vComplex_Sys_Effort*(1+PM_Overhead)*$BH214))</f>
        <v>8.25</v>
      </c>
      <c r="BN214" s="419">
        <f>(1+Sensitivity_FE_Order)*0</f>
        <v>0</v>
      </c>
      <c r="BO214" s="419">
        <f>(1+Sensitivity_FE_Order)*0</f>
        <v>0</v>
      </c>
      <c r="BP214" s="419">
        <f>(1+Sensitivity_FE_Order)*((FE_vComplex_Sys_Effort*(1+PM_Overhead)*$BH214))*TierC_TierB_ratio</f>
        <v>4.125</v>
      </c>
      <c r="BQ214" s="419">
        <f>(1+Sensitivity_FE_Order)*0</f>
        <v>0</v>
      </c>
      <c r="BR214" s="419">
        <f>BP214</f>
        <v>4.125</v>
      </c>
      <c r="BS214" s="263"/>
    </row>
    <row r="215" spans="1:71" ht="24" customHeight="1" outlineLevel="1" x14ac:dyDescent="0.2">
      <c r="A215" s="312"/>
      <c r="B215" s="546" t="s">
        <v>108</v>
      </c>
      <c r="C215" s="547" t="s">
        <v>171</v>
      </c>
      <c r="D215" s="528" t="s">
        <v>111</v>
      </c>
      <c r="E215" s="529" t="s">
        <v>140</v>
      </c>
      <c r="F215" s="470" t="s">
        <v>30</v>
      </c>
      <c r="G215" s="531" t="s">
        <v>50</v>
      </c>
      <c r="H215" s="530" t="s">
        <v>119</v>
      </c>
      <c r="I215" s="771"/>
      <c r="J215" s="453"/>
      <c r="K215" s="467"/>
      <c r="L215" s="467"/>
      <c r="M215" s="467"/>
      <c r="N215" s="264"/>
      <c r="O215" s="729" t="s">
        <v>210</v>
      </c>
      <c r="P215" s="264"/>
      <c r="Q215" s="264"/>
      <c r="R215" s="264"/>
      <c r="S215" s="419">
        <f>(1+Sensitivity_FE_Order)*0</f>
        <v>0</v>
      </c>
      <c r="T215" s="419">
        <f>(1+Sensitivity_FE_Order)*0</f>
        <v>0</v>
      </c>
      <c r="U215" s="419">
        <f>(1+Sensitivity_FE_Order)*0</f>
        <v>0</v>
      </c>
      <c r="V215" s="419">
        <f>(1+Sensitivity_FE_Order)*0</f>
        <v>0</v>
      </c>
      <c r="W215" s="419">
        <f>(1+Sensitivity_FE_Order)*0</f>
        <v>0</v>
      </c>
      <c r="X215" s="419">
        <f>(1+Sensitivity_FE_Order)*0</f>
        <v>0</v>
      </c>
      <c r="Y215" s="419">
        <f>(1+Sensitivity_FE_Order)*0</f>
        <v>0</v>
      </c>
      <c r="Z215" s="419">
        <f>(1+Sensitivity_FE_Order)*0</f>
        <v>0</v>
      </c>
      <c r="AA215" s="419">
        <f>(1+Sensitivity_FE_Order)*0</f>
        <v>0</v>
      </c>
      <c r="AB215" s="264"/>
      <c r="AC215" s="729" t="s">
        <v>210</v>
      </c>
      <c r="AD215" s="467"/>
      <c r="AE215" s="264"/>
      <c r="AF215" s="263"/>
      <c r="AG215" s="419">
        <f>(1+Sensitivity_FE_Order)*0</f>
        <v>0</v>
      </c>
      <c r="AH215" s="419">
        <f>(1+Sensitivity_FE_Order)*0</f>
        <v>0</v>
      </c>
      <c r="AI215" s="419">
        <f>(1+Sensitivity_FE_Order)*0</f>
        <v>0</v>
      </c>
      <c r="AJ215" s="419">
        <f>(1+Sensitivity_FE_Order)*0</f>
        <v>0</v>
      </c>
      <c r="AK215" s="419">
        <f>(1+Sensitivity_FE_Order)*0</f>
        <v>0</v>
      </c>
      <c r="AL215" s="419">
        <f>(1+Sensitivity_FE_Order)*0</f>
        <v>0</v>
      </c>
      <c r="AM215" s="419">
        <f>(1+Sensitivity_FE_Order)*0</f>
        <v>0</v>
      </c>
      <c r="AN215" s="419">
        <f>(1+Sensitivity_FE_Order)*0</f>
        <v>0</v>
      </c>
      <c r="AO215" s="419">
        <f>(1+Sensitivity_FE_Order)*0</f>
        <v>0</v>
      </c>
      <c r="AP215" s="264"/>
      <c r="AQ215" s="264"/>
      <c r="AR215" s="729" t="s">
        <v>210</v>
      </c>
      <c r="AS215" s="467"/>
      <c r="AT215" s="264"/>
      <c r="AU215" s="263"/>
      <c r="AV215" s="419">
        <f>(1+Sensitivity_FE_Order)*0</f>
        <v>0</v>
      </c>
      <c r="AW215" s="419">
        <f>(1+Sensitivity_FE_Order)*0</f>
        <v>0</v>
      </c>
      <c r="AX215" s="419">
        <f>(1+Sensitivity_FE_Order)*0</f>
        <v>0</v>
      </c>
      <c r="AY215" s="419">
        <f>(1+Sensitivity_FE_Order)*0</f>
        <v>0</v>
      </c>
      <c r="AZ215" s="419">
        <f>(1+Sensitivity_FE_Order)*0</f>
        <v>0</v>
      </c>
      <c r="BA215" s="419">
        <f>(1+Sensitivity_FE_Order)*0</f>
        <v>0</v>
      </c>
      <c r="BB215" s="419">
        <f>(1+Sensitivity_FE_Order)*0</f>
        <v>0</v>
      </c>
      <c r="BC215" s="419">
        <f>(1+Sensitivity_FE_Order)*0</f>
        <v>0</v>
      </c>
      <c r="BD215" s="419">
        <f>(1+Sensitivity_FE_Order)*0</f>
        <v>0</v>
      </c>
      <c r="BE215" s="264"/>
      <c r="BF215" s="729" t="s">
        <v>210</v>
      </c>
      <c r="BG215" s="467"/>
      <c r="BH215" s="374">
        <v>0</v>
      </c>
      <c r="BI215" s="263"/>
      <c r="BJ215" s="419">
        <f>(1+Sensitivity_FE_Order)*0</f>
        <v>0</v>
      </c>
      <c r="BK215" s="419">
        <f>(1+Sensitivity_FE_Order)*0</f>
        <v>0</v>
      </c>
      <c r="BL215" s="419">
        <f>(1+Sensitivity_FE_Order)*0</f>
        <v>0</v>
      </c>
      <c r="BM215" s="419">
        <f>(1+Sensitivity_FE_Order)*0</f>
        <v>0</v>
      </c>
      <c r="BN215" s="419">
        <f>(1+Sensitivity_FE_Order)*0</f>
        <v>0</v>
      </c>
      <c r="BO215" s="419">
        <f>(1+Sensitivity_FE_Order)*0</f>
        <v>0</v>
      </c>
      <c r="BP215" s="419">
        <f>(1+Sensitivity_FE_Order)*0</f>
        <v>0</v>
      </c>
      <c r="BQ215" s="419">
        <f>(1+Sensitivity_FE_Order)*0</f>
        <v>0</v>
      </c>
      <c r="BR215" s="419">
        <f>(1+Sensitivity_FE_Order)*0</f>
        <v>0</v>
      </c>
      <c r="BS215" s="263"/>
    </row>
    <row r="216" spans="1:71" ht="24" customHeight="1" outlineLevel="1" x14ac:dyDescent="0.2">
      <c r="A216" s="312"/>
      <c r="B216" s="546" t="s">
        <v>108</v>
      </c>
      <c r="C216" s="547" t="s">
        <v>171</v>
      </c>
      <c r="D216" s="528" t="s">
        <v>111</v>
      </c>
      <c r="E216" s="529" t="s">
        <v>140</v>
      </c>
      <c r="F216" s="531" t="s">
        <v>49</v>
      </c>
      <c r="G216" s="531" t="s">
        <v>47</v>
      </c>
      <c r="H216" s="530" t="s">
        <v>120</v>
      </c>
      <c r="I216" s="771"/>
      <c r="J216" s="453"/>
      <c r="K216" s="467"/>
      <c r="L216" s="467"/>
      <c r="M216" s="467"/>
      <c r="N216" s="264"/>
      <c r="O216" s="730"/>
      <c r="P216" s="264"/>
      <c r="Q216" s="264"/>
      <c r="R216" s="264"/>
      <c r="S216" s="374">
        <v>0.2</v>
      </c>
      <c r="T216" s="374">
        <v>0.2</v>
      </c>
      <c r="U216" s="374">
        <v>0.2</v>
      </c>
      <c r="V216" s="374">
        <v>0.2</v>
      </c>
      <c r="W216" s="374">
        <v>0.2</v>
      </c>
      <c r="X216" s="374">
        <v>0.2</v>
      </c>
      <c r="Y216" s="374">
        <v>0.2</v>
      </c>
      <c r="Z216" s="374">
        <v>0.2</v>
      </c>
      <c r="AA216" s="374">
        <v>0.2</v>
      </c>
      <c r="AB216" s="264"/>
      <c r="AC216" s="730"/>
      <c r="AD216" s="467"/>
      <c r="AE216" s="264"/>
      <c r="AF216" s="263"/>
      <c r="AG216" s="374">
        <v>0.2</v>
      </c>
      <c r="AH216" s="374">
        <v>0.2</v>
      </c>
      <c r="AI216" s="374">
        <v>0.2</v>
      </c>
      <c r="AJ216" s="374">
        <v>0.2</v>
      </c>
      <c r="AK216" s="374">
        <v>0.2</v>
      </c>
      <c r="AL216" s="374">
        <v>0.2</v>
      </c>
      <c r="AM216" s="374">
        <v>0.2</v>
      </c>
      <c r="AN216" s="374">
        <v>0.2</v>
      </c>
      <c r="AO216" s="374">
        <v>0.2</v>
      </c>
      <c r="AP216" s="264"/>
      <c r="AQ216" s="264"/>
      <c r="AR216" s="730"/>
      <c r="AS216" s="467"/>
      <c r="AT216" s="264"/>
      <c r="AU216" s="263"/>
      <c r="AV216" s="374">
        <v>0.2</v>
      </c>
      <c r="AW216" s="374">
        <v>0.2</v>
      </c>
      <c r="AX216" s="374">
        <v>0.2</v>
      </c>
      <c r="AY216" s="374">
        <v>0.2</v>
      </c>
      <c r="AZ216" s="374">
        <v>0.2</v>
      </c>
      <c r="BA216" s="374">
        <v>0.2</v>
      </c>
      <c r="BB216" s="374">
        <v>0.2</v>
      </c>
      <c r="BC216" s="374">
        <v>0.2</v>
      </c>
      <c r="BD216" s="374">
        <v>0.2</v>
      </c>
      <c r="BE216" s="264"/>
      <c r="BF216" s="730"/>
      <c r="BG216" s="467"/>
      <c r="BH216" s="264"/>
      <c r="BI216" s="263"/>
      <c r="BJ216" s="374">
        <v>0.2</v>
      </c>
      <c r="BK216" s="374">
        <v>0.2</v>
      </c>
      <c r="BL216" s="374">
        <v>0.2</v>
      </c>
      <c r="BM216" s="374">
        <v>0.2</v>
      </c>
      <c r="BN216" s="374">
        <v>0.2</v>
      </c>
      <c r="BO216" s="374">
        <v>0.2</v>
      </c>
      <c r="BP216" s="374">
        <v>0.2</v>
      </c>
      <c r="BQ216" s="374">
        <v>0.2</v>
      </c>
      <c r="BR216" s="374">
        <v>0.2</v>
      </c>
      <c r="BS216" s="263"/>
    </row>
    <row r="217" spans="1:71" ht="24" customHeight="1" outlineLevel="1" x14ac:dyDescent="0.2">
      <c r="A217" s="312"/>
      <c r="B217" s="401" t="s">
        <v>108</v>
      </c>
      <c r="C217" s="157" t="s">
        <v>189</v>
      </c>
      <c r="D217" s="567" t="s">
        <v>111</v>
      </c>
      <c r="E217" s="568" t="s">
        <v>145</v>
      </c>
      <c r="F217" s="87" t="s">
        <v>61</v>
      </c>
      <c r="G217" s="567" t="s">
        <v>50</v>
      </c>
      <c r="H217" s="569" t="s">
        <v>152</v>
      </c>
      <c r="I217" s="772" t="s">
        <v>242</v>
      </c>
      <c r="J217" s="453"/>
      <c r="K217" s="467"/>
      <c r="L217" s="467"/>
      <c r="M217" s="467"/>
      <c r="N217" s="264"/>
      <c r="O217" s="565" t="s">
        <v>227</v>
      </c>
      <c r="P217" s="264"/>
      <c r="Q217" s="374">
        <v>0</v>
      </c>
      <c r="R217" s="264"/>
      <c r="S217" s="419">
        <f t="shared" ref="S217:AA218" si="220">(1+Sensitivity_FE_Order)*0</f>
        <v>0</v>
      </c>
      <c r="T217" s="419">
        <f t="shared" si="220"/>
        <v>0</v>
      </c>
      <c r="U217" s="419">
        <f t="shared" si="220"/>
        <v>0</v>
      </c>
      <c r="V217" s="419">
        <f t="shared" si="220"/>
        <v>0</v>
      </c>
      <c r="W217" s="419">
        <f t="shared" si="220"/>
        <v>0</v>
      </c>
      <c r="X217" s="419">
        <f t="shared" si="220"/>
        <v>0</v>
      </c>
      <c r="Y217" s="419">
        <f t="shared" si="220"/>
        <v>0</v>
      </c>
      <c r="Z217" s="419">
        <f t="shared" si="220"/>
        <v>0</v>
      </c>
      <c r="AA217" s="419">
        <f t="shared" si="220"/>
        <v>0</v>
      </c>
      <c r="AB217" s="264"/>
      <c r="AC217" s="565" t="s">
        <v>227</v>
      </c>
      <c r="AD217" s="467"/>
      <c r="AE217" s="264"/>
      <c r="AF217" s="263"/>
      <c r="AG217" s="419">
        <f t="shared" ref="AG217:AO218" si="221">(1+Sensitivity_FE_Order)*0</f>
        <v>0</v>
      </c>
      <c r="AH217" s="419">
        <f t="shared" si="221"/>
        <v>0</v>
      </c>
      <c r="AI217" s="419">
        <f t="shared" si="221"/>
        <v>0</v>
      </c>
      <c r="AJ217" s="419">
        <f t="shared" si="221"/>
        <v>0</v>
      </c>
      <c r="AK217" s="419">
        <f t="shared" si="221"/>
        <v>0</v>
      </c>
      <c r="AL217" s="419">
        <f t="shared" si="221"/>
        <v>0</v>
      </c>
      <c r="AM217" s="419">
        <f t="shared" si="221"/>
        <v>0</v>
      </c>
      <c r="AN217" s="419">
        <f t="shared" si="221"/>
        <v>0</v>
      </c>
      <c r="AO217" s="419">
        <f t="shared" si="221"/>
        <v>0</v>
      </c>
      <c r="AP217" s="264"/>
      <c r="AQ217" s="264"/>
      <c r="AR217" s="565"/>
      <c r="AS217" s="467"/>
      <c r="AT217" s="374">
        <v>0</v>
      </c>
      <c r="AU217" s="263"/>
      <c r="AV217" s="419">
        <v>0</v>
      </c>
      <c r="AW217" s="419">
        <v>0</v>
      </c>
      <c r="AX217" s="419">
        <v>0</v>
      </c>
      <c r="AY217" s="419">
        <v>0</v>
      </c>
      <c r="AZ217" s="419">
        <v>0</v>
      </c>
      <c r="BA217" s="419">
        <v>0</v>
      </c>
      <c r="BB217" s="419">
        <v>0</v>
      </c>
      <c r="BC217" s="419">
        <v>0</v>
      </c>
      <c r="BD217" s="419">
        <v>0</v>
      </c>
      <c r="BE217" s="264"/>
      <c r="BF217" s="565"/>
      <c r="BG217" s="467"/>
      <c r="BH217" s="374">
        <v>0</v>
      </c>
      <c r="BI217" s="263"/>
      <c r="BJ217" s="419">
        <v>0</v>
      </c>
      <c r="BK217" s="419">
        <f>(1+Sensitivity_FE_Order)*(FE_Standard_Sys_Effort*$BH217)</f>
        <v>0</v>
      </c>
      <c r="BL217" s="419">
        <f>(1+Sensitivity_FE_Order)*(FE_Standard_Sys_Effort*$BH217)</f>
        <v>0</v>
      </c>
      <c r="BM217" s="419">
        <f>(1+Sensitivity_FE_Order)*(FE_Standard_Sys_Effort*$BH217)</f>
        <v>0</v>
      </c>
      <c r="BN217" s="419">
        <f>(1+Sensitivity_FE_Order)*0</f>
        <v>0</v>
      </c>
      <c r="BO217" s="419">
        <f>(1+Sensitivity_FE_Order)*0</f>
        <v>0</v>
      </c>
      <c r="BP217" s="419">
        <f>BM217*TierC_TierB_ratio</f>
        <v>0</v>
      </c>
      <c r="BQ217" s="419">
        <f>(1+Sensitivity_FE_Order)*0</f>
        <v>0</v>
      </c>
      <c r="BR217" s="419">
        <f>BP217</f>
        <v>0</v>
      </c>
      <c r="BS217" s="263"/>
    </row>
    <row r="218" spans="1:71" ht="24" customHeight="1" outlineLevel="1" x14ac:dyDescent="0.2">
      <c r="A218" s="312"/>
      <c r="B218" s="401" t="s">
        <v>108</v>
      </c>
      <c r="C218" s="157" t="s">
        <v>189</v>
      </c>
      <c r="D218" s="567" t="s">
        <v>111</v>
      </c>
      <c r="E218" s="568" t="s">
        <v>145</v>
      </c>
      <c r="F218" s="464" t="s">
        <v>30</v>
      </c>
      <c r="G218" s="218" t="s">
        <v>50</v>
      </c>
      <c r="H218" s="569" t="s">
        <v>119</v>
      </c>
      <c r="I218" s="772"/>
      <c r="J218" s="453"/>
      <c r="K218" s="467"/>
      <c r="L218" s="467"/>
      <c r="M218" s="467"/>
      <c r="N218" s="264"/>
      <c r="O218" s="565"/>
      <c r="P218" s="264"/>
      <c r="Q218" s="264"/>
      <c r="R218" s="264"/>
      <c r="S218" s="419">
        <f t="shared" si="220"/>
        <v>0</v>
      </c>
      <c r="T218" s="419">
        <f t="shared" si="220"/>
        <v>0</v>
      </c>
      <c r="U218" s="419">
        <f t="shared" si="220"/>
        <v>0</v>
      </c>
      <c r="V218" s="419">
        <f t="shared" si="220"/>
        <v>0</v>
      </c>
      <c r="W218" s="419">
        <f t="shared" si="220"/>
        <v>0</v>
      </c>
      <c r="X218" s="419">
        <f t="shared" si="220"/>
        <v>0</v>
      </c>
      <c r="Y218" s="419">
        <f t="shared" si="220"/>
        <v>0</v>
      </c>
      <c r="Z218" s="419">
        <f t="shared" si="220"/>
        <v>0</v>
      </c>
      <c r="AA218" s="419">
        <f t="shared" si="220"/>
        <v>0</v>
      </c>
      <c r="AB218" s="264"/>
      <c r="AC218" s="565"/>
      <c r="AD218" s="467"/>
      <c r="AE218" s="264"/>
      <c r="AF218" s="263"/>
      <c r="AG218" s="419">
        <f t="shared" si="221"/>
        <v>0</v>
      </c>
      <c r="AH218" s="419">
        <f t="shared" si="221"/>
        <v>0</v>
      </c>
      <c r="AI218" s="419">
        <f t="shared" si="221"/>
        <v>0</v>
      </c>
      <c r="AJ218" s="419">
        <f t="shared" si="221"/>
        <v>0</v>
      </c>
      <c r="AK218" s="419">
        <f t="shared" si="221"/>
        <v>0</v>
      </c>
      <c r="AL218" s="419">
        <f t="shared" si="221"/>
        <v>0</v>
      </c>
      <c r="AM218" s="419">
        <f t="shared" si="221"/>
        <v>0</v>
      </c>
      <c r="AN218" s="419">
        <f t="shared" si="221"/>
        <v>0</v>
      </c>
      <c r="AO218" s="419">
        <f t="shared" si="221"/>
        <v>0</v>
      </c>
      <c r="AP218" s="264"/>
      <c r="AQ218" s="264"/>
      <c r="AR218" s="565"/>
      <c r="AS218" s="467"/>
      <c r="AT218" s="264"/>
      <c r="AU218" s="263"/>
      <c r="AV218" s="419">
        <f t="shared" ref="AV218:BD218" si="222">(1+Sensitivity_FE_Order)*0</f>
        <v>0</v>
      </c>
      <c r="AW218" s="419">
        <f t="shared" si="222"/>
        <v>0</v>
      </c>
      <c r="AX218" s="419">
        <f t="shared" si="222"/>
        <v>0</v>
      </c>
      <c r="AY218" s="419">
        <f t="shared" si="222"/>
        <v>0</v>
      </c>
      <c r="AZ218" s="419">
        <f t="shared" si="222"/>
        <v>0</v>
      </c>
      <c r="BA218" s="419">
        <f t="shared" si="222"/>
        <v>0</v>
      </c>
      <c r="BB218" s="419">
        <f t="shared" si="222"/>
        <v>0</v>
      </c>
      <c r="BC218" s="419">
        <f t="shared" si="222"/>
        <v>0</v>
      </c>
      <c r="BD218" s="419">
        <f t="shared" si="222"/>
        <v>0</v>
      </c>
      <c r="BE218" s="264"/>
      <c r="BF218" s="565"/>
      <c r="BG218" s="467"/>
      <c r="BH218" s="374">
        <v>0</v>
      </c>
      <c r="BI218" s="263"/>
      <c r="BJ218" s="419">
        <f>(1+Sensitivity_FE_Order)*0</f>
        <v>0</v>
      </c>
      <c r="BK218" s="419">
        <f>(1+Sensitivity_FE_Order)*0</f>
        <v>0</v>
      </c>
      <c r="BL218" s="419">
        <f>(1+Sensitivity_FE_Order)*0</f>
        <v>0</v>
      </c>
      <c r="BM218" s="419">
        <f>(1+Sensitivity_FE_Order)*0</f>
        <v>0</v>
      </c>
      <c r="BN218" s="419">
        <f>(1+Sensitivity_FE_Order)*0</f>
        <v>0</v>
      </c>
      <c r="BO218" s="419">
        <f>(1+Sensitivity_FE_Order)*0</f>
        <v>0</v>
      </c>
      <c r="BP218" s="419">
        <f>(1+Sensitivity_FE_Order)*0</f>
        <v>0</v>
      </c>
      <c r="BQ218" s="419">
        <f>(1+Sensitivity_FE_Order)*0</f>
        <v>0</v>
      </c>
      <c r="BR218" s="419">
        <f>(1+Sensitivity_FE_Order)*0</f>
        <v>0</v>
      </c>
      <c r="BS218" s="263"/>
    </row>
    <row r="219" spans="1:71" ht="24" customHeight="1" outlineLevel="1" x14ac:dyDescent="0.2">
      <c r="A219" s="312"/>
      <c r="B219" s="401" t="s">
        <v>108</v>
      </c>
      <c r="C219" s="157" t="s">
        <v>189</v>
      </c>
      <c r="D219" s="567" t="s">
        <v>111</v>
      </c>
      <c r="E219" s="568" t="s">
        <v>145</v>
      </c>
      <c r="F219" s="218" t="s">
        <v>49</v>
      </c>
      <c r="G219" s="218" t="s">
        <v>47</v>
      </c>
      <c r="H219" s="569" t="s">
        <v>120</v>
      </c>
      <c r="I219" s="772"/>
      <c r="J219" s="453"/>
      <c r="K219" s="467"/>
      <c r="L219" s="467"/>
      <c r="M219" s="467"/>
      <c r="N219" s="264"/>
      <c r="O219" s="565"/>
      <c r="P219" s="264"/>
      <c r="Q219" s="264"/>
      <c r="R219" s="264"/>
      <c r="S219" s="374">
        <v>0.2</v>
      </c>
      <c r="T219" s="374">
        <v>0.2</v>
      </c>
      <c r="U219" s="374">
        <v>0.2</v>
      </c>
      <c r="V219" s="374">
        <v>0.2</v>
      </c>
      <c r="W219" s="374">
        <v>0.2</v>
      </c>
      <c r="X219" s="374">
        <v>0.2</v>
      </c>
      <c r="Y219" s="374">
        <v>0.2</v>
      </c>
      <c r="Z219" s="374">
        <v>0.2</v>
      </c>
      <c r="AA219" s="374">
        <v>0.2</v>
      </c>
      <c r="AB219" s="264"/>
      <c r="AC219" s="565"/>
      <c r="AD219" s="467"/>
      <c r="AE219" s="264"/>
      <c r="AF219" s="263"/>
      <c r="AG219" s="374">
        <v>0.2</v>
      </c>
      <c r="AH219" s="374">
        <v>0.2</v>
      </c>
      <c r="AI219" s="374">
        <v>0.2</v>
      </c>
      <c r="AJ219" s="374">
        <v>0.2</v>
      </c>
      <c r="AK219" s="374">
        <v>0.2</v>
      </c>
      <c r="AL219" s="374">
        <v>0.2</v>
      </c>
      <c r="AM219" s="374">
        <v>0.2</v>
      </c>
      <c r="AN219" s="374">
        <v>0.2</v>
      </c>
      <c r="AO219" s="374">
        <v>0.2</v>
      </c>
      <c r="AP219" s="264"/>
      <c r="AQ219" s="264"/>
      <c r="AR219" s="565"/>
      <c r="AS219" s="467"/>
      <c r="AT219" s="264"/>
      <c r="AU219" s="263"/>
      <c r="AV219" s="374">
        <v>0.2</v>
      </c>
      <c r="AW219" s="374">
        <v>0.2</v>
      </c>
      <c r="AX219" s="374">
        <v>0.2</v>
      </c>
      <c r="AY219" s="374">
        <v>0.2</v>
      </c>
      <c r="AZ219" s="374">
        <v>0.2</v>
      </c>
      <c r="BA219" s="374">
        <v>0.2</v>
      </c>
      <c r="BB219" s="374">
        <v>0.2</v>
      </c>
      <c r="BC219" s="374">
        <v>0.2</v>
      </c>
      <c r="BD219" s="374">
        <v>0.2</v>
      </c>
      <c r="BE219" s="264"/>
      <c r="BF219" s="565"/>
      <c r="BG219" s="467"/>
      <c r="BH219" s="264"/>
      <c r="BI219" s="263"/>
      <c r="BJ219" s="374">
        <v>0.2</v>
      </c>
      <c r="BK219" s="374">
        <v>0.2</v>
      </c>
      <c r="BL219" s="374">
        <v>0.2</v>
      </c>
      <c r="BM219" s="374">
        <v>0.2</v>
      </c>
      <c r="BN219" s="374">
        <v>0.2</v>
      </c>
      <c r="BO219" s="374">
        <v>0.2</v>
      </c>
      <c r="BP219" s="374">
        <v>0.2</v>
      </c>
      <c r="BQ219" s="374">
        <v>0.2</v>
      </c>
      <c r="BR219" s="374">
        <v>0.2</v>
      </c>
      <c r="BS219" s="263"/>
    </row>
    <row r="220" spans="1:71" ht="24" customHeight="1" outlineLevel="1" x14ac:dyDescent="0.2">
      <c r="A220" s="312"/>
      <c r="B220" s="546" t="s">
        <v>108</v>
      </c>
      <c r="C220" s="547" t="s">
        <v>171</v>
      </c>
      <c r="D220" s="528" t="s">
        <v>111</v>
      </c>
      <c r="E220" s="529" t="s">
        <v>121</v>
      </c>
      <c r="F220" s="566" t="s">
        <v>61</v>
      </c>
      <c r="G220" s="528" t="s">
        <v>50</v>
      </c>
      <c r="H220" s="530" t="s">
        <v>152</v>
      </c>
      <c r="I220" s="732" t="s">
        <v>243</v>
      </c>
      <c r="J220" s="453"/>
      <c r="K220" s="467"/>
      <c r="L220" s="467"/>
      <c r="M220" s="467"/>
      <c r="N220" s="264"/>
      <c r="O220" s="456" t="s">
        <v>220</v>
      </c>
      <c r="P220" s="264"/>
      <c r="Q220" s="374">
        <v>0.15</v>
      </c>
      <c r="R220" s="264"/>
      <c r="S220" s="419">
        <f>(1+Sensitivity_FE_Order)*(FE_vComplex_Sys_Effort*(1+PM_Overhead)*$Q220)</f>
        <v>24.75</v>
      </c>
      <c r="T220" s="419">
        <f>(1+Sensitivity_FE_Order)*(FE_vComplex_Sys_Effort*(1+PM_Overhead)*$Q220)</f>
        <v>24.75</v>
      </c>
      <c r="U220" s="419">
        <f>(1+Sensitivity_FE_Order)*(FE_vComplex_Sys_Effort*(1+PM_Overhead)*$Q220)</f>
        <v>24.75</v>
      </c>
      <c r="V220" s="419">
        <f>(1+Sensitivity_FE_Order)*(FE_vComplex_Sys_Effort*(1+PM_Overhead)*$Q220)</f>
        <v>24.75</v>
      </c>
      <c r="W220" s="419">
        <f>(1+Sensitivity_FE_Order)*0</f>
        <v>0</v>
      </c>
      <c r="X220" s="419">
        <f>(1+Sensitivity_FE_Order)*0</f>
        <v>0</v>
      </c>
      <c r="Y220" s="419">
        <f>(1+Sensitivity_FE_Order)*(FE_vComplex_Sys_Effort*(1+PM_Overhead)*$Q220)*TierC_TierB_ratio</f>
        <v>12.375</v>
      </c>
      <c r="Z220" s="419">
        <f>(1+Sensitivity_FE_Order)*0</f>
        <v>0</v>
      </c>
      <c r="AA220" s="419">
        <f>Y220</f>
        <v>12.375</v>
      </c>
      <c r="AB220" s="264"/>
      <c r="AC220" s="456" t="s">
        <v>220</v>
      </c>
      <c r="AD220" s="467"/>
      <c r="AE220" s="374">
        <v>0.15</v>
      </c>
      <c r="AF220" s="263"/>
      <c r="AG220" s="419">
        <f>(1+Sensitivity_FE_Order)*(FE_vComplex_Sys_Effort*(1+PM_Overhead)*$AE220)</f>
        <v>24.75</v>
      </c>
      <c r="AH220" s="419">
        <f>(1+Sensitivity_FE_Order)*(FE_vComplex_Sys_Effort*(1+PM_Overhead)*$AE220)</f>
        <v>24.75</v>
      </c>
      <c r="AI220" s="419">
        <f>(1+Sensitivity_FE_Order)*(FE_vComplex_Sys_Effort*(1+PM_Overhead)*$AE220)</f>
        <v>24.75</v>
      </c>
      <c r="AJ220" s="419">
        <f>(1+Sensitivity_FE_Order)*(FE_vComplex_Sys_Effort*(1+PM_Overhead)*$AE220)</f>
        <v>24.75</v>
      </c>
      <c r="AK220" s="419">
        <f>(1+Sensitivity_FE_Order)*0</f>
        <v>0</v>
      </c>
      <c r="AL220" s="419">
        <f>(1+Sensitivity_FE_Order)*0</f>
        <v>0</v>
      </c>
      <c r="AM220" s="419">
        <f>(1+Sensitivity_FE_Order)*(FE_vComplex_Sys_Effort*(1+PM_Overhead)*$AE220)*TierC_TierB_ratio</f>
        <v>12.375</v>
      </c>
      <c r="AN220" s="419">
        <f>(1+Sensitivity_FE_Order)*0</f>
        <v>0</v>
      </c>
      <c r="AO220" s="419">
        <f>AM220</f>
        <v>12.375</v>
      </c>
      <c r="AP220" s="264"/>
      <c r="AQ220" s="264"/>
      <c r="AR220" s="456" t="s">
        <v>220</v>
      </c>
      <c r="AS220" s="467"/>
      <c r="AT220" s="374">
        <v>0.15</v>
      </c>
      <c r="AU220" s="263"/>
      <c r="AV220" s="419">
        <f>(1+Sensitivity_FE_Order)*((FE_vComplex_Sys_Effort*(1+PM_Overhead)*$AT220))</f>
        <v>24.75</v>
      </c>
      <c r="AW220" s="419">
        <f>(1+Sensitivity_FE_Order)*((FE_vComplex_Sys_Effort*(1+PM_Overhead)*$AT220))</f>
        <v>24.75</v>
      </c>
      <c r="AX220" s="419">
        <f>(1+Sensitivity_FE_Order)*((FE_vComplex_Sys_Effort*(1+PM_Overhead)*$AT220))</f>
        <v>24.75</v>
      </c>
      <c r="AY220" s="419">
        <f>(1+Sensitivity_FE_Order)*((FE_vComplex_Sys_Effort*(1+PM_Overhead)*$AT220))</f>
        <v>24.75</v>
      </c>
      <c r="AZ220" s="419">
        <f>(1+Sensitivity_FE_Order)*0</f>
        <v>0</v>
      </c>
      <c r="BA220" s="419">
        <f>(1+Sensitivity_FE_Order)*0</f>
        <v>0</v>
      </c>
      <c r="BB220" s="419">
        <f>(1+Sensitivity_FE_Order)*((FE_vComplex_Sys_Effort*(1+PM_Overhead)*$AT220))*TierC_TierB_ratio</f>
        <v>12.375</v>
      </c>
      <c r="BC220" s="419">
        <f>(1+Sensitivity_FE_Order)*0</f>
        <v>0</v>
      </c>
      <c r="BD220" s="419">
        <f>BB220</f>
        <v>12.375</v>
      </c>
      <c r="BE220" s="264"/>
      <c r="BF220" s="456" t="s">
        <v>220</v>
      </c>
      <c r="BG220" s="467"/>
      <c r="BH220" s="374">
        <v>0.15</v>
      </c>
      <c r="BI220" s="263"/>
      <c r="BJ220" s="419">
        <f>(1+Sensitivity_FE_Order)*((FE_vComplex_Sys_Effort*(1+PM_Overhead)*$BH220))</f>
        <v>24.75</v>
      </c>
      <c r="BK220" s="419">
        <f>(1+Sensitivity_FE_Order)*((FE_vComplex_Sys_Effort*(1+PM_Overhead)*$BH220))</f>
        <v>24.75</v>
      </c>
      <c r="BL220" s="419">
        <f>(1+Sensitivity_FE_Order)*((FE_vComplex_Sys_Effort*(1+PM_Overhead)*$BH220))</f>
        <v>24.75</v>
      </c>
      <c r="BM220" s="419">
        <f>(1+Sensitivity_FE_Order)*((FE_vComplex_Sys_Effort*(1+PM_Overhead)*$BH220))</f>
        <v>24.75</v>
      </c>
      <c r="BN220" s="419">
        <f>(1+Sensitivity_FE_Order)*0</f>
        <v>0</v>
      </c>
      <c r="BO220" s="419">
        <f>(1+Sensitivity_FE_Order)*0</f>
        <v>0</v>
      </c>
      <c r="BP220" s="419">
        <f>(1+Sensitivity_FE_Order)*((FE_vComplex_Sys_Effort*(1+PM_Overhead)*$BH220))*TierC_TierB_ratio</f>
        <v>12.375</v>
      </c>
      <c r="BQ220" s="419">
        <f>(1+Sensitivity_FE_Order)*0</f>
        <v>0</v>
      </c>
      <c r="BR220" s="419">
        <f>BP220</f>
        <v>12.375</v>
      </c>
      <c r="BS220" s="263"/>
    </row>
    <row r="221" spans="1:71" ht="24" customHeight="1" outlineLevel="1" x14ac:dyDescent="0.2">
      <c r="A221" s="312"/>
      <c r="B221" s="546" t="s">
        <v>108</v>
      </c>
      <c r="C221" s="547" t="s">
        <v>171</v>
      </c>
      <c r="D221" s="528" t="s">
        <v>111</v>
      </c>
      <c r="E221" s="529" t="s">
        <v>121</v>
      </c>
      <c r="F221" s="470" t="s">
        <v>30</v>
      </c>
      <c r="G221" s="531" t="s">
        <v>50</v>
      </c>
      <c r="H221" s="530" t="s">
        <v>119</v>
      </c>
      <c r="I221" s="732"/>
      <c r="J221" s="453"/>
      <c r="K221" s="467"/>
      <c r="L221" s="467"/>
      <c r="M221" s="467"/>
      <c r="N221" s="264"/>
      <c r="O221" s="456"/>
      <c r="P221" s="264"/>
      <c r="Q221" s="264"/>
      <c r="R221" s="264"/>
      <c r="S221" s="419">
        <f>(1+Sensitivity_FE_Order)*0</f>
        <v>0</v>
      </c>
      <c r="T221" s="419">
        <f>(1+Sensitivity_FE_Order)*0</f>
        <v>0</v>
      </c>
      <c r="U221" s="419">
        <f>(1+Sensitivity_FE_Order)*0</f>
        <v>0</v>
      </c>
      <c r="V221" s="419">
        <f>(1+Sensitivity_FE_Order)*0</f>
        <v>0</v>
      </c>
      <c r="W221" s="419">
        <f>(1+Sensitivity_FE_Order)*0</f>
        <v>0</v>
      </c>
      <c r="X221" s="419">
        <f>(1+Sensitivity_FE_Order)*0</f>
        <v>0</v>
      </c>
      <c r="Y221" s="419">
        <f>(1+Sensitivity_FE_Order)*0</f>
        <v>0</v>
      </c>
      <c r="Z221" s="419">
        <f>(1+Sensitivity_FE_Order)*0</f>
        <v>0</v>
      </c>
      <c r="AA221" s="419">
        <f>(1+Sensitivity_FE_Order)*0</f>
        <v>0</v>
      </c>
      <c r="AB221" s="264"/>
      <c r="AC221" s="456"/>
      <c r="AD221" s="467"/>
      <c r="AE221" s="264"/>
      <c r="AF221" s="263"/>
      <c r="AG221" s="419">
        <f>(1+Sensitivity_FE_Order)*0</f>
        <v>0</v>
      </c>
      <c r="AH221" s="419">
        <f>(1+Sensitivity_FE_Order)*0</f>
        <v>0</v>
      </c>
      <c r="AI221" s="419">
        <f>(1+Sensitivity_FE_Order)*0</f>
        <v>0</v>
      </c>
      <c r="AJ221" s="419">
        <f>(1+Sensitivity_FE_Order)*0</f>
        <v>0</v>
      </c>
      <c r="AK221" s="419">
        <f>(1+Sensitivity_FE_Order)*0</f>
        <v>0</v>
      </c>
      <c r="AL221" s="419">
        <f>(1+Sensitivity_FE_Order)*0</f>
        <v>0</v>
      </c>
      <c r="AM221" s="419">
        <f>(1+Sensitivity_FE_Order)*0</f>
        <v>0</v>
      </c>
      <c r="AN221" s="419">
        <f>(1+Sensitivity_FE_Order)*0</f>
        <v>0</v>
      </c>
      <c r="AO221" s="419">
        <f>(1+Sensitivity_FE_Order)*0</f>
        <v>0</v>
      </c>
      <c r="AP221" s="264"/>
      <c r="AQ221" s="264"/>
      <c r="AR221" s="456"/>
      <c r="AS221" s="467"/>
      <c r="AT221" s="264"/>
      <c r="AU221" s="263"/>
      <c r="AV221" s="419">
        <f>(1+Sensitivity_FE_Order)*0</f>
        <v>0</v>
      </c>
      <c r="AW221" s="419">
        <f>(1+Sensitivity_FE_Order)*0</f>
        <v>0</v>
      </c>
      <c r="AX221" s="419">
        <f>(1+Sensitivity_FE_Order)*0</f>
        <v>0</v>
      </c>
      <c r="AY221" s="419">
        <f>(1+Sensitivity_FE_Order)*0</f>
        <v>0</v>
      </c>
      <c r="AZ221" s="419">
        <f>(1+Sensitivity_FE_Order)*0</f>
        <v>0</v>
      </c>
      <c r="BA221" s="419">
        <f>(1+Sensitivity_FE_Order)*0</f>
        <v>0</v>
      </c>
      <c r="BB221" s="419">
        <f>(1+Sensitivity_FE_Order)*0</f>
        <v>0</v>
      </c>
      <c r="BC221" s="419">
        <f>(1+Sensitivity_FE_Order)*0</f>
        <v>0</v>
      </c>
      <c r="BD221" s="419">
        <f>(1+Sensitivity_FE_Order)*0</f>
        <v>0</v>
      </c>
      <c r="BE221" s="264"/>
      <c r="BF221" s="456"/>
      <c r="BG221" s="467"/>
      <c r="BH221" s="374">
        <v>0</v>
      </c>
      <c r="BI221" s="263"/>
      <c r="BJ221" s="419">
        <f>(1+Sensitivity_FE_Order)*0</f>
        <v>0</v>
      </c>
      <c r="BK221" s="419">
        <f>(1+Sensitivity_FE_Order)*0</f>
        <v>0</v>
      </c>
      <c r="BL221" s="419">
        <f>(1+Sensitivity_FE_Order)*0</f>
        <v>0</v>
      </c>
      <c r="BM221" s="419">
        <f>(1+Sensitivity_FE_Order)*0</f>
        <v>0</v>
      </c>
      <c r="BN221" s="419">
        <f>(1+Sensitivity_FE_Order)*0</f>
        <v>0</v>
      </c>
      <c r="BO221" s="419">
        <f>(1+Sensitivity_FE_Order)*0</f>
        <v>0</v>
      </c>
      <c r="BP221" s="419">
        <f>(1+Sensitivity_FE_Order)*0</f>
        <v>0</v>
      </c>
      <c r="BQ221" s="419">
        <f>(1+Sensitivity_FE_Order)*0</f>
        <v>0</v>
      </c>
      <c r="BR221" s="419">
        <f>(1+Sensitivity_FE_Order)*0</f>
        <v>0</v>
      </c>
      <c r="BS221" s="263"/>
    </row>
    <row r="222" spans="1:71" ht="24" customHeight="1" outlineLevel="1" x14ac:dyDescent="0.2">
      <c r="A222" s="312"/>
      <c r="B222" s="546" t="s">
        <v>108</v>
      </c>
      <c r="C222" s="547" t="s">
        <v>171</v>
      </c>
      <c r="D222" s="528" t="s">
        <v>111</v>
      </c>
      <c r="E222" s="529" t="s">
        <v>121</v>
      </c>
      <c r="F222" s="531" t="s">
        <v>49</v>
      </c>
      <c r="G222" s="531" t="s">
        <v>47</v>
      </c>
      <c r="H222" s="530" t="s">
        <v>120</v>
      </c>
      <c r="I222" s="732"/>
      <c r="J222" s="453"/>
      <c r="K222" s="467"/>
      <c r="L222" s="467"/>
      <c r="M222" s="467"/>
      <c r="N222" s="264"/>
      <c r="O222" s="456"/>
      <c r="P222" s="264"/>
      <c r="Q222" s="264"/>
      <c r="R222" s="264"/>
      <c r="S222" s="374">
        <v>0.2</v>
      </c>
      <c r="T222" s="374">
        <v>0.2</v>
      </c>
      <c r="U222" s="374">
        <v>0.2</v>
      </c>
      <c r="V222" s="374">
        <v>0.2</v>
      </c>
      <c r="W222" s="374">
        <v>0.2</v>
      </c>
      <c r="X222" s="374">
        <v>0.2</v>
      </c>
      <c r="Y222" s="374">
        <v>0.2</v>
      </c>
      <c r="Z222" s="374">
        <v>0.2</v>
      </c>
      <c r="AA222" s="374">
        <v>0.2</v>
      </c>
      <c r="AB222" s="264"/>
      <c r="AC222" s="456"/>
      <c r="AD222" s="467"/>
      <c r="AE222" s="264"/>
      <c r="AF222" s="263"/>
      <c r="AG222" s="374">
        <v>0.2</v>
      </c>
      <c r="AH222" s="374">
        <v>0.2</v>
      </c>
      <c r="AI222" s="374">
        <v>0.2</v>
      </c>
      <c r="AJ222" s="374">
        <v>0.2</v>
      </c>
      <c r="AK222" s="374">
        <v>0.2</v>
      </c>
      <c r="AL222" s="374">
        <v>0.2</v>
      </c>
      <c r="AM222" s="374">
        <v>0.2</v>
      </c>
      <c r="AN222" s="374">
        <v>0.2</v>
      </c>
      <c r="AO222" s="374">
        <v>0.2</v>
      </c>
      <c r="AP222" s="264"/>
      <c r="AQ222" s="264"/>
      <c r="AR222" s="456"/>
      <c r="AS222" s="467"/>
      <c r="AT222" s="264"/>
      <c r="AU222" s="263"/>
      <c r="AV222" s="374">
        <v>0.2</v>
      </c>
      <c r="AW222" s="374">
        <v>0.2</v>
      </c>
      <c r="AX222" s="374">
        <v>0.2</v>
      </c>
      <c r="AY222" s="374">
        <v>0.2</v>
      </c>
      <c r="AZ222" s="374">
        <v>0.2</v>
      </c>
      <c r="BA222" s="374">
        <v>0.2</v>
      </c>
      <c r="BB222" s="374">
        <v>0.2</v>
      </c>
      <c r="BC222" s="374">
        <v>0.2</v>
      </c>
      <c r="BD222" s="374">
        <v>0.2</v>
      </c>
      <c r="BE222" s="264"/>
      <c r="BF222" s="456"/>
      <c r="BG222" s="467"/>
      <c r="BH222" s="264"/>
      <c r="BI222" s="263"/>
      <c r="BJ222" s="374">
        <v>0.2</v>
      </c>
      <c r="BK222" s="374">
        <v>0.2</v>
      </c>
      <c r="BL222" s="374">
        <v>0.2</v>
      </c>
      <c r="BM222" s="374">
        <v>0.2</v>
      </c>
      <c r="BN222" s="374">
        <v>0.2</v>
      </c>
      <c r="BO222" s="374">
        <v>0.2</v>
      </c>
      <c r="BP222" s="374">
        <v>0.2</v>
      </c>
      <c r="BQ222" s="374">
        <v>0.2</v>
      </c>
      <c r="BR222" s="374">
        <v>0.2</v>
      </c>
      <c r="BS222" s="263"/>
    </row>
    <row r="223" spans="1:71" ht="24" customHeight="1" outlineLevel="1" x14ac:dyDescent="0.2">
      <c r="A223" s="312"/>
      <c r="B223" s="401" t="s">
        <v>108</v>
      </c>
      <c r="C223" s="157" t="s">
        <v>190</v>
      </c>
      <c r="D223" s="567" t="s">
        <v>111</v>
      </c>
      <c r="E223" s="568" t="s">
        <v>146</v>
      </c>
      <c r="F223" s="87" t="s">
        <v>61</v>
      </c>
      <c r="G223" s="567" t="s">
        <v>50</v>
      </c>
      <c r="H223" s="569" t="s">
        <v>152</v>
      </c>
      <c r="I223" s="733" t="s">
        <v>244</v>
      </c>
      <c r="J223" s="453"/>
      <c r="K223" s="467"/>
      <c r="L223" s="467"/>
      <c r="M223" s="467"/>
      <c r="N223" s="264"/>
      <c r="O223" s="570" t="s">
        <v>220</v>
      </c>
      <c r="P223" s="264"/>
      <c r="Q223" s="374">
        <v>0.15</v>
      </c>
      <c r="R223" s="264"/>
      <c r="S223" s="419">
        <f>(1+Sensitivity_FE_Order)*(FE_vComplex_Sys_Effort*(1+PM_Overhead)*$Q223)</f>
        <v>24.75</v>
      </c>
      <c r="T223" s="419">
        <f>(1+Sensitivity_FE_Order)*(FE_vComplex_Sys_Effort*(1+PM_Overhead)*$Q223)</f>
        <v>24.75</v>
      </c>
      <c r="U223" s="419">
        <f>(1+Sensitivity_FE_Order)*(FE_vComplex_Sys_Effort*(1+PM_Overhead)*$Q223)</f>
        <v>24.75</v>
      </c>
      <c r="V223" s="419">
        <f>(1+Sensitivity_FE_Order)*(FE_vComplex_Sys_Effort*(1+PM_Overhead)*$Q223)</f>
        <v>24.75</v>
      </c>
      <c r="W223" s="419">
        <f>(1+Sensitivity_FE_Order)*0</f>
        <v>0</v>
      </c>
      <c r="X223" s="419">
        <f>(1+Sensitivity_FE_Order)*0</f>
        <v>0</v>
      </c>
      <c r="Y223" s="419">
        <f>(1+Sensitivity_FE_Order)*(FE_vComplex_Sys_Effort*(1+PM_Overhead)*$Q223)*TierC_TierB_ratio</f>
        <v>12.375</v>
      </c>
      <c r="Z223" s="419">
        <f>(1+Sensitivity_FE_Order)*0</f>
        <v>0</v>
      </c>
      <c r="AA223" s="419">
        <f>Y223</f>
        <v>12.375</v>
      </c>
      <c r="AB223" s="264"/>
      <c r="AC223" s="570" t="s">
        <v>220</v>
      </c>
      <c r="AD223" s="467"/>
      <c r="AE223" s="374">
        <v>0.15</v>
      </c>
      <c r="AF223" s="263"/>
      <c r="AG223" s="419">
        <f>(1+Sensitivity_FE_Order)*(FE_vComplex_Sys_Effort*(1+PM_Overhead)*$AE223)</f>
        <v>24.75</v>
      </c>
      <c r="AH223" s="419">
        <f>(1+Sensitivity_FE_Order)*(FE_vComplex_Sys_Effort*(1+PM_Overhead)*$AE223)</f>
        <v>24.75</v>
      </c>
      <c r="AI223" s="419">
        <f>(1+Sensitivity_FE_Order)*(FE_vComplex_Sys_Effort*(1+PM_Overhead)*$AE223)</f>
        <v>24.75</v>
      </c>
      <c r="AJ223" s="419">
        <f>(1+Sensitivity_FE_Order)*(FE_vComplex_Sys_Effort*(1+PM_Overhead)*$AE223)</f>
        <v>24.75</v>
      </c>
      <c r="AK223" s="419">
        <f>(1+Sensitivity_FE_Order)*0</f>
        <v>0</v>
      </c>
      <c r="AL223" s="419">
        <f>(1+Sensitivity_FE_Order)*0</f>
        <v>0</v>
      </c>
      <c r="AM223" s="419">
        <f>(1+Sensitivity_FE_Order)*(FE_vComplex_Sys_Effort*(1+PM_Overhead)*$AE223)*TierC_TierB_ratio</f>
        <v>12.375</v>
      </c>
      <c r="AN223" s="419">
        <f>(1+Sensitivity_FE_Order)*0</f>
        <v>0</v>
      </c>
      <c r="AO223" s="419">
        <f>AM223</f>
        <v>12.375</v>
      </c>
      <c r="AP223" s="264"/>
      <c r="AQ223" s="264"/>
      <c r="AR223" s="570" t="s">
        <v>220</v>
      </c>
      <c r="AS223" s="467"/>
      <c r="AT223" s="374">
        <v>0.15</v>
      </c>
      <c r="AU223" s="263"/>
      <c r="AV223" s="419">
        <f>(1+Sensitivity_FE_Order)*((FE_vComplex_Sys_Effort*(1+PM_Overhead)*$AT223))</f>
        <v>24.75</v>
      </c>
      <c r="AW223" s="419">
        <f>(1+Sensitivity_FE_Order)*((FE_vComplex_Sys_Effort*(1+PM_Overhead)*$AT223))</f>
        <v>24.75</v>
      </c>
      <c r="AX223" s="419">
        <f>(1+Sensitivity_FE_Order)*((FE_vComplex_Sys_Effort*(1+PM_Overhead)*$AT223))</f>
        <v>24.75</v>
      </c>
      <c r="AY223" s="419">
        <f>(1+Sensitivity_FE_Order)*((FE_vComplex_Sys_Effort*(1+PM_Overhead)*$AT223))</f>
        <v>24.75</v>
      </c>
      <c r="AZ223" s="419">
        <f>(1+Sensitivity_FE_Order)*0</f>
        <v>0</v>
      </c>
      <c r="BA223" s="419">
        <f>(1+Sensitivity_FE_Order)*0</f>
        <v>0</v>
      </c>
      <c r="BB223" s="419">
        <f>(1+Sensitivity_FE_Order)*((FE_vComplex_Sys_Effort*(1+PM_Overhead)*$AT223))*TierC_TierB_ratio</f>
        <v>12.375</v>
      </c>
      <c r="BC223" s="419">
        <f>(1+Sensitivity_FE_Order)*0</f>
        <v>0</v>
      </c>
      <c r="BD223" s="419">
        <f>BB223</f>
        <v>12.375</v>
      </c>
      <c r="BE223" s="264"/>
      <c r="BF223" s="570" t="s">
        <v>220</v>
      </c>
      <c r="BG223" s="467"/>
      <c r="BH223" s="374">
        <v>0.15</v>
      </c>
      <c r="BI223" s="263"/>
      <c r="BJ223" s="419">
        <f>(1+Sensitivity_FE_Order)*((FE_vComplex_Sys_Effort*(1+PM_Overhead)*$BH223))</f>
        <v>24.75</v>
      </c>
      <c r="BK223" s="419">
        <f>(1+Sensitivity_FE_Order)*((FE_vComplex_Sys_Effort*(1+PM_Overhead)*$BH223))</f>
        <v>24.75</v>
      </c>
      <c r="BL223" s="419">
        <f>(1+Sensitivity_FE_Order)*((FE_vComplex_Sys_Effort*(1+PM_Overhead)*$BH223))</f>
        <v>24.75</v>
      </c>
      <c r="BM223" s="419">
        <f>(1+Sensitivity_FE_Order)*((FE_vComplex_Sys_Effort*(1+PM_Overhead)*$BH223))</f>
        <v>24.75</v>
      </c>
      <c r="BN223" s="419">
        <f>(1+Sensitivity_FE_Order)*0</f>
        <v>0</v>
      </c>
      <c r="BO223" s="419">
        <f>(1+Sensitivity_FE_Order)*0</f>
        <v>0</v>
      </c>
      <c r="BP223" s="419">
        <f>(1+Sensitivity_FE_Order)*((FE_vComplex_Sys_Effort*(1+PM_Overhead)*$BH223))*TierC_TierB_ratio</f>
        <v>12.375</v>
      </c>
      <c r="BQ223" s="419">
        <f>(1+Sensitivity_FE_Order)*0</f>
        <v>0</v>
      </c>
      <c r="BR223" s="419">
        <f>BP223</f>
        <v>12.375</v>
      </c>
      <c r="BS223" s="263"/>
    </row>
    <row r="224" spans="1:71" ht="24" customHeight="1" outlineLevel="1" x14ac:dyDescent="0.2">
      <c r="A224" s="312"/>
      <c r="B224" s="401" t="s">
        <v>108</v>
      </c>
      <c r="C224" s="157" t="s">
        <v>190</v>
      </c>
      <c r="D224" s="567" t="s">
        <v>111</v>
      </c>
      <c r="E224" s="568" t="s">
        <v>146</v>
      </c>
      <c r="F224" s="464" t="s">
        <v>30</v>
      </c>
      <c r="G224" s="218" t="s">
        <v>50</v>
      </c>
      <c r="H224" s="569" t="s">
        <v>119</v>
      </c>
      <c r="I224" s="733"/>
      <c r="J224" s="453"/>
      <c r="K224" s="467"/>
      <c r="L224" s="467"/>
      <c r="M224" s="467"/>
      <c r="N224" s="264"/>
      <c r="O224" s="570"/>
      <c r="P224" s="264"/>
      <c r="Q224" s="264"/>
      <c r="R224" s="264"/>
      <c r="S224" s="419">
        <f>(1+Sensitivity_FE_Order)*0</f>
        <v>0</v>
      </c>
      <c r="T224" s="419">
        <f>(1+Sensitivity_FE_Order)*0</f>
        <v>0</v>
      </c>
      <c r="U224" s="419">
        <f>(1+Sensitivity_FE_Order)*0</f>
        <v>0</v>
      </c>
      <c r="V224" s="419">
        <f>(1+Sensitivity_FE_Order)*0</f>
        <v>0</v>
      </c>
      <c r="W224" s="419">
        <f>(1+Sensitivity_FE_Order)*0</f>
        <v>0</v>
      </c>
      <c r="X224" s="419">
        <f>(1+Sensitivity_FE_Order)*0</f>
        <v>0</v>
      </c>
      <c r="Y224" s="419">
        <f>(1+Sensitivity_FE_Order)*0</f>
        <v>0</v>
      </c>
      <c r="Z224" s="419">
        <f>(1+Sensitivity_FE_Order)*0</f>
        <v>0</v>
      </c>
      <c r="AA224" s="419">
        <f>(1+Sensitivity_FE_Order)*0</f>
        <v>0</v>
      </c>
      <c r="AB224" s="264"/>
      <c r="AC224" s="570"/>
      <c r="AD224" s="467"/>
      <c r="AE224" s="264"/>
      <c r="AF224" s="263"/>
      <c r="AG224" s="419">
        <f>(1+Sensitivity_FE_Order)*0</f>
        <v>0</v>
      </c>
      <c r="AH224" s="419">
        <f>(1+Sensitivity_FE_Order)*0</f>
        <v>0</v>
      </c>
      <c r="AI224" s="419">
        <f>(1+Sensitivity_FE_Order)*0</f>
        <v>0</v>
      </c>
      <c r="AJ224" s="419">
        <f>(1+Sensitivity_FE_Order)*0</f>
        <v>0</v>
      </c>
      <c r="AK224" s="419">
        <f>(1+Sensitivity_FE_Order)*0</f>
        <v>0</v>
      </c>
      <c r="AL224" s="419">
        <f>(1+Sensitivity_FE_Order)*0</f>
        <v>0</v>
      </c>
      <c r="AM224" s="419">
        <f>(1+Sensitivity_FE_Order)*0</f>
        <v>0</v>
      </c>
      <c r="AN224" s="419">
        <f>(1+Sensitivity_FE_Order)*0</f>
        <v>0</v>
      </c>
      <c r="AO224" s="419">
        <f>(1+Sensitivity_FE_Order)*0</f>
        <v>0</v>
      </c>
      <c r="AP224" s="264"/>
      <c r="AQ224" s="264"/>
      <c r="AR224" s="570"/>
      <c r="AS224" s="467"/>
      <c r="AT224" s="264"/>
      <c r="AU224" s="263"/>
      <c r="AV224" s="419">
        <f>(1+Sensitivity_FE_Order)*0</f>
        <v>0</v>
      </c>
      <c r="AW224" s="419">
        <f>(1+Sensitivity_FE_Order)*0</f>
        <v>0</v>
      </c>
      <c r="AX224" s="419">
        <f>(1+Sensitivity_FE_Order)*0</f>
        <v>0</v>
      </c>
      <c r="AY224" s="419">
        <f>(1+Sensitivity_FE_Order)*0</f>
        <v>0</v>
      </c>
      <c r="AZ224" s="419">
        <f>(1+Sensitivity_FE_Order)*0</f>
        <v>0</v>
      </c>
      <c r="BA224" s="419">
        <f>(1+Sensitivity_FE_Order)*0</f>
        <v>0</v>
      </c>
      <c r="BB224" s="419">
        <f>(1+Sensitivity_FE_Order)*0</f>
        <v>0</v>
      </c>
      <c r="BC224" s="419">
        <f>(1+Sensitivity_FE_Order)*0</f>
        <v>0</v>
      </c>
      <c r="BD224" s="419">
        <f>(1+Sensitivity_FE_Order)*0</f>
        <v>0</v>
      </c>
      <c r="BE224" s="264"/>
      <c r="BF224" s="570"/>
      <c r="BG224" s="467"/>
      <c r="BH224" s="374">
        <v>0</v>
      </c>
      <c r="BI224" s="263"/>
      <c r="BJ224" s="419">
        <f>(1+Sensitivity_FE_Order)*0</f>
        <v>0</v>
      </c>
      <c r="BK224" s="419">
        <f>(1+Sensitivity_FE_Order)*0</f>
        <v>0</v>
      </c>
      <c r="BL224" s="419">
        <f>(1+Sensitivity_FE_Order)*0</f>
        <v>0</v>
      </c>
      <c r="BM224" s="419">
        <f>(1+Sensitivity_FE_Order)*0</f>
        <v>0</v>
      </c>
      <c r="BN224" s="419">
        <f>(1+Sensitivity_FE_Order)*0</f>
        <v>0</v>
      </c>
      <c r="BO224" s="419">
        <f>(1+Sensitivity_FE_Order)*0</f>
        <v>0</v>
      </c>
      <c r="BP224" s="419">
        <f>(1+Sensitivity_FE_Order)*0</f>
        <v>0</v>
      </c>
      <c r="BQ224" s="419">
        <f>(1+Sensitivity_FE_Order)*0</f>
        <v>0</v>
      </c>
      <c r="BR224" s="419">
        <f>(1+Sensitivity_FE_Order)*0</f>
        <v>0</v>
      </c>
      <c r="BS224" s="263"/>
    </row>
    <row r="225" spans="1:71" ht="24" customHeight="1" outlineLevel="1" x14ac:dyDescent="0.2">
      <c r="A225" s="312"/>
      <c r="B225" s="401" t="s">
        <v>108</v>
      </c>
      <c r="C225" s="157" t="s">
        <v>190</v>
      </c>
      <c r="D225" s="567" t="s">
        <v>111</v>
      </c>
      <c r="E225" s="568" t="s">
        <v>146</v>
      </c>
      <c r="F225" s="218" t="s">
        <v>49</v>
      </c>
      <c r="G225" s="218" t="s">
        <v>47</v>
      </c>
      <c r="H225" s="569" t="s">
        <v>120</v>
      </c>
      <c r="I225" s="733"/>
      <c r="J225" s="453"/>
      <c r="K225" s="467"/>
      <c r="L225" s="467"/>
      <c r="M225" s="467"/>
      <c r="N225" s="264"/>
      <c r="O225" s="570"/>
      <c r="P225" s="264"/>
      <c r="Q225" s="264"/>
      <c r="R225" s="264"/>
      <c r="S225" s="374">
        <v>0.2</v>
      </c>
      <c r="T225" s="374">
        <v>0.2</v>
      </c>
      <c r="U225" s="374">
        <v>0.2</v>
      </c>
      <c r="V225" s="374">
        <v>0.2</v>
      </c>
      <c r="W225" s="374">
        <v>0.2</v>
      </c>
      <c r="X225" s="374">
        <v>0.2</v>
      </c>
      <c r="Y225" s="374">
        <v>0.2</v>
      </c>
      <c r="Z225" s="374">
        <v>0.2</v>
      </c>
      <c r="AA225" s="374">
        <v>0.2</v>
      </c>
      <c r="AB225" s="264"/>
      <c r="AC225" s="570"/>
      <c r="AD225" s="467"/>
      <c r="AE225" s="264"/>
      <c r="AF225" s="263"/>
      <c r="AG225" s="374">
        <v>0.2</v>
      </c>
      <c r="AH225" s="374">
        <v>0.2</v>
      </c>
      <c r="AI225" s="374">
        <v>0.2</v>
      </c>
      <c r="AJ225" s="374">
        <v>0.2</v>
      </c>
      <c r="AK225" s="374">
        <v>0.2</v>
      </c>
      <c r="AL225" s="374">
        <v>0.2</v>
      </c>
      <c r="AM225" s="374">
        <v>0.2</v>
      </c>
      <c r="AN225" s="374">
        <v>0.2</v>
      </c>
      <c r="AO225" s="374">
        <v>0.2</v>
      </c>
      <c r="AP225" s="264"/>
      <c r="AQ225" s="264"/>
      <c r="AR225" s="570"/>
      <c r="AS225" s="467"/>
      <c r="AT225" s="264"/>
      <c r="AU225" s="263"/>
      <c r="AV225" s="374">
        <v>0.2</v>
      </c>
      <c r="AW225" s="374">
        <v>0.2</v>
      </c>
      <c r="AX225" s="374">
        <v>0.2</v>
      </c>
      <c r="AY225" s="374">
        <v>0.2</v>
      </c>
      <c r="AZ225" s="374">
        <v>0.2</v>
      </c>
      <c r="BA225" s="374">
        <v>0.2</v>
      </c>
      <c r="BB225" s="374">
        <v>0.2</v>
      </c>
      <c r="BC225" s="374">
        <v>0.2</v>
      </c>
      <c r="BD225" s="374">
        <v>0.2</v>
      </c>
      <c r="BE225" s="264"/>
      <c r="BF225" s="570"/>
      <c r="BG225" s="467"/>
      <c r="BH225" s="264"/>
      <c r="BI225" s="263"/>
      <c r="BJ225" s="374">
        <v>0.2</v>
      </c>
      <c r="BK225" s="374">
        <v>0.2</v>
      </c>
      <c r="BL225" s="374">
        <v>0.2</v>
      </c>
      <c r="BM225" s="374">
        <v>0.2</v>
      </c>
      <c r="BN225" s="374">
        <v>0.2</v>
      </c>
      <c r="BO225" s="374">
        <v>0.2</v>
      </c>
      <c r="BP225" s="374">
        <v>0.2</v>
      </c>
      <c r="BQ225" s="374">
        <v>0.2</v>
      </c>
      <c r="BR225" s="374">
        <v>0.2</v>
      </c>
      <c r="BS225" s="263"/>
    </row>
    <row r="226" spans="1:71" ht="24" customHeight="1" outlineLevel="1" x14ac:dyDescent="0.2">
      <c r="A226" s="312"/>
      <c r="B226" s="546" t="s">
        <v>108</v>
      </c>
      <c r="C226" s="547" t="s">
        <v>190</v>
      </c>
      <c r="D226" s="528" t="s">
        <v>111</v>
      </c>
      <c r="E226" s="529" t="s">
        <v>141</v>
      </c>
      <c r="F226" s="566" t="s">
        <v>61</v>
      </c>
      <c r="G226" s="528" t="s">
        <v>50</v>
      </c>
      <c r="H226" s="530" t="s">
        <v>152</v>
      </c>
      <c r="I226" s="732" t="s">
        <v>245</v>
      </c>
      <c r="J226" s="453"/>
      <c r="K226" s="467"/>
      <c r="L226" s="467"/>
      <c r="M226" s="467"/>
      <c r="N226" s="264"/>
      <c r="O226" s="456" t="s">
        <v>220</v>
      </c>
      <c r="P226" s="264"/>
      <c r="Q226" s="374">
        <v>0.15</v>
      </c>
      <c r="R226" s="264"/>
      <c r="S226" s="419">
        <f>(1+Sensitivity_FE_Order)*(FE_vComplex_Sys_Effort*(1+PM_Overhead)*$Q226)</f>
        <v>24.75</v>
      </c>
      <c r="T226" s="419">
        <f>(1+Sensitivity_FE_Order)*(FE_vComplex_Sys_Effort*(1+PM_Overhead)*$Q226)</f>
        <v>24.75</v>
      </c>
      <c r="U226" s="419">
        <f>(1+Sensitivity_FE_Order)*(FE_vComplex_Sys_Effort*(1+PM_Overhead)*$Q226)</f>
        <v>24.75</v>
      </c>
      <c r="V226" s="419">
        <f>(1+Sensitivity_FE_Order)*(FE_vComplex_Sys_Effort*(1+PM_Overhead)*$Q226)</f>
        <v>24.75</v>
      </c>
      <c r="W226" s="419">
        <f>(1+Sensitivity_FE_Order)*0</f>
        <v>0</v>
      </c>
      <c r="X226" s="419">
        <f>(1+Sensitivity_FE_Order)*0</f>
        <v>0</v>
      </c>
      <c r="Y226" s="419">
        <f>(1+Sensitivity_FE_Order)*(FE_vComplex_Sys_Effort*(1+PM_Overhead)*$Q226)*TierC_TierB_ratio</f>
        <v>12.375</v>
      </c>
      <c r="Z226" s="419">
        <f>(1+Sensitivity_FE_Order)*0</f>
        <v>0</v>
      </c>
      <c r="AA226" s="419">
        <f>Y226</f>
        <v>12.375</v>
      </c>
      <c r="AB226" s="264"/>
      <c r="AC226" s="456" t="s">
        <v>220</v>
      </c>
      <c r="AD226" s="467"/>
      <c r="AE226" s="374">
        <v>0.15</v>
      </c>
      <c r="AF226" s="263"/>
      <c r="AG226" s="419">
        <f>(1+Sensitivity_FE_Order)*(FE_vComplex_Sys_Effort*(1+PM_Overhead)*$AE226)</f>
        <v>24.75</v>
      </c>
      <c r="AH226" s="419">
        <f>(1+Sensitivity_FE_Order)*(FE_vComplex_Sys_Effort*(1+PM_Overhead)*$AE226)</f>
        <v>24.75</v>
      </c>
      <c r="AI226" s="419">
        <f>(1+Sensitivity_FE_Order)*(FE_vComplex_Sys_Effort*(1+PM_Overhead)*$AE226)</f>
        <v>24.75</v>
      </c>
      <c r="AJ226" s="419">
        <f>(1+Sensitivity_FE_Order)*(FE_vComplex_Sys_Effort*(1+PM_Overhead)*$AE226)</f>
        <v>24.75</v>
      </c>
      <c r="AK226" s="419">
        <f>(1+Sensitivity_FE_Order)*0</f>
        <v>0</v>
      </c>
      <c r="AL226" s="419">
        <f>(1+Sensitivity_FE_Order)*0</f>
        <v>0</v>
      </c>
      <c r="AM226" s="419">
        <f>(1+Sensitivity_FE_Order)*(FE_vComplex_Sys_Effort*(1+PM_Overhead)*$AE226)*TierC_TierB_ratio</f>
        <v>12.375</v>
      </c>
      <c r="AN226" s="419">
        <f>(1+Sensitivity_FE_Order)*0</f>
        <v>0</v>
      </c>
      <c r="AO226" s="419">
        <f>AM226</f>
        <v>12.375</v>
      </c>
      <c r="AP226" s="264"/>
      <c r="AQ226" s="264"/>
      <c r="AR226" s="456" t="s">
        <v>220</v>
      </c>
      <c r="AS226" s="467"/>
      <c r="AT226" s="374">
        <v>0.15</v>
      </c>
      <c r="AU226" s="263"/>
      <c r="AV226" s="419">
        <f>(1+Sensitivity_FE_Order)*((FE_vComplex_Sys_Effort*(1+PM_Overhead)*$AT226))</f>
        <v>24.75</v>
      </c>
      <c r="AW226" s="419">
        <f>(1+Sensitivity_FE_Order)*((FE_vComplex_Sys_Effort*(1+PM_Overhead)*$AT226))</f>
        <v>24.75</v>
      </c>
      <c r="AX226" s="419">
        <f>(1+Sensitivity_FE_Order)*((FE_vComplex_Sys_Effort*(1+PM_Overhead)*$AT226))</f>
        <v>24.75</v>
      </c>
      <c r="AY226" s="419">
        <f>(1+Sensitivity_FE_Order)*((FE_vComplex_Sys_Effort*(1+PM_Overhead)*$AT226))</f>
        <v>24.75</v>
      </c>
      <c r="AZ226" s="419">
        <f>(1+Sensitivity_FE_Order)*0</f>
        <v>0</v>
      </c>
      <c r="BA226" s="419">
        <f>(1+Sensitivity_FE_Order)*0</f>
        <v>0</v>
      </c>
      <c r="BB226" s="419">
        <f>(1+Sensitivity_FE_Order)*((FE_vComplex_Sys_Effort*(1+PM_Overhead)*$AT226))*TierC_TierB_ratio</f>
        <v>12.375</v>
      </c>
      <c r="BC226" s="419">
        <f>(1+Sensitivity_FE_Order)*0</f>
        <v>0</v>
      </c>
      <c r="BD226" s="419">
        <f>BB226</f>
        <v>12.375</v>
      </c>
      <c r="BE226" s="264"/>
      <c r="BF226" s="456" t="s">
        <v>220</v>
      </c>
      <c r="BG226" s="467"/>
      <c r="BH226" s="374">
        <v>0.15</v>
      </c>
      <c r="BI226" s="263"/>
      <c r="BJ226" s="419">
        <f>(1+Sensitivity_FE_Order)*((FE_vComplex_Sys_Effort*(1+PM_Overhead)*$BH226))</f>
        <v>24.75</v>
      </c>
      <c r="BK226" s="419">
        <f>(1+Sensitivity_FE_Order)*((FE_vComplex_Sys_Effort*(1+PM_Overhead)*$BH226))</f>
        <v>24.75</v>
      </c>
      <c r="BL226" s="419">
        <f>(1+Sensitivity_FE_Order)*((FE_vComplex_Sys_Effort*(1+PM_Overhead)*$BH226))</f>
        <v>24.75</v>
      </c>
      <c r="BM226" s="419">
        <f>(1+Sensitivity_FE_Order)*((FE_vComplex_Sys_Effort*(1+PM_Overhead)*$BH226))</f>
        <v>24.75</v>
      </c>
      <c r="BN226" s="419">
        <f>(1+Sensitivity_FE_Order)*0</f>
        <v>0</v>
      </c>
      <c r="BO226" s="419">
        <f>(1+Sensitivity_FE_Order)*0</f>
        <v>0</v>
      </c>
      <c r="BP226" s="419">
        <f>(1+Sensitivity_FE_Order)*((FE_vComplex_Sys_Effort*(1+PM_Overhead)*$BH226))*TierC_TierB_ratio</f>
        <v>12.375</v>
      </c>
      <c r="BQ226" s="419">
        <f>(1+Sensitivity_FE_Order)*0</f>
        <v>0</v>
      </c>
      <c r="BR226" s="419">
        <f>BP226</f>
        <v>12.375</v>
      </c>
      <c r="BS226" s="263"/>
    </row>
    <row r="227" spans="1:71" ht="24" customHeight="1" outlineLevel="1" x14ac:dyDescent="0.2">
      <c r="A227" s="312"/>
      <c r="B227" s="546" t="s">
        <v>108</v>
      </c>
      <c r="C227" s="547" t="s">
        <v>190</v>
      </c>
      <c r="D227" s="528" t="s">
        <v>111</v>
      </c>
      <c r="E227" s="529" t="s">
        <v>141</v>
      </c>
      <c r="F227" s="470" t="s">
        <v>30</v>
      </c>
      <c r="G227" s="531" t="s">
        <v>50</v>
      </c>
      <c r="H227" s="530" t="s">
        <v>119</v>
      </c>
      <c r="I227" s="732"/>
      <c r="J227" s="453"/>
      <c r="K227" s="467"/>
      <c r="L227" s="467"/>
      <c r="M227" s="467"/>
      <c r="N227" s="264"/>
      <c r="O227" s="456"/>
      <c r="P227" s="264"/>
      <c r="Q227" s="264"/>
      <c r="R227" s="264"/>
      <c r="S227" s="419">
        <f>(1+Sensitivity_FE_Order)*0</f>
        <v>0</v>
      </c>
      <c r="T227" s="419">
        <f>(1+Sensitivity_FE_Order)*0</f>
        <v>0</v>
      </c>
      <c r="U227" s="419">
        <f>(1+Sensitivity_FE_Order)*0</f>
        <v>0</v>
      </c>
      <c r="V227" s="419">
        <f>(1+Sensitivity_FE_Order)*0</f>
        <v>0</v>
      </c>
      <c r="W227" s="419">
        <f>(1+Sensitivity_FE_Order)*0</f>
        <v>0</v>
      </c>
      <c r="X227" s="419">
        <f>(1+Sensitivity_FE_Order)*0</f>
        <v>0</v>
      </c>
      <c r="Y227" s="419">
        <f>(1+Sensitivity_FE_Order)*0</f>
        <v>0</v>
      </c>
      <c r="Z227" s="419">
        <f>(1+Sensitivity_FE_Order)*0</f>
        <v>0</v>
      </c>
      <c r="AA227" s="419">
        <f>(1+Sensitivity_FE_Order)*0</f>
        <v>0</v>
      </c>
      <c r="AB227" s="264"/>
      <c r="AC227" s="456"/>
      <c r="AD227" s="467"/>
      <c r="AE227" s="264"/>
      <c r="AF227" s="263"/>
      <c r="AG227" s="419">
        <f>(1+Sensitivity_FE_Order)*0</f>
        <v>0</v>
      </c>
      <c r="AH227" s="419">
        <f>(1+Sensitivity_FE_Order)*0</f>
        <v>0</v>
      </c>
      <c r="AI227" s="419">
        <f>(1+Sensitivity_FE_Order)*0</f>
        <v>0</v>
      </c>
      <c r="AJ227" s="419">
        <f>(1+Sensitivity_FE_Order)*0</f>
        <v>0</v>
      </c>
      <c r="AK227" s="419">
        <f>(1+Sensitivity_FE_Order)*0</f>
        <v>0</v>
      </c>
      <c r="AL227" s="419">
        <f>(1+Sensitivity_FE_Order)*0</f>
        <v>0</v>
      </c>
      <c r="AM227" s="419">
        <f>(1+Sensitivity_FE_Order)*0</f>
        <v>0</v>
      </c>
      <c r="AN227" s="419">
        <f>(1+Sensitivity_FE_Order)*0</f>
        <v>0</v>
      </c>
      <c r="AO227" s="419">
        <f>(1+Sensitivity_FE_Order)*0</f>
        <v>0</v>
      </c>
      <c r="AP227" s="264"/>
      <c r="AQ227" s="264"/>
      <c r="AR227" s="456"/>
      <c r="AS227" s="467"/>
      <c r="AT227" s="264"/>
      <c r="AU227" s="263"/>
      <c r="AV227" s="419">
        <f>(1+Sensitivity_FE_Order)*0</f>
        <v>0</v>
      </c>
      <c r="AW227" s="419">
        <f>(1+Sensitivity_FE_Order)*0</f>
        <v>0</v>
      </c>
      <c r="AX227" s="419">
        <f>(1+Sensitivity_FE_Order)*0</f>
        <v>0</v>
      </c>
      <c r="AY227" s="419">
        <f>(1+Sensitivity_FE_Order)*0</f>
        <v>0</v>
      </c>
      <c r="AZ227" s="419">
        <f>(1+Sensitivity_FE_Order)*0</f>
        <v>0</v>
      </c>
      <c r="BA227" s="419">
        <f>(1+Sensitivity_FE_Order)*0</f>
        <v>0</v>
      </c>
      <c r="BB227" s="419">
        <f>(1+Sensitivity_FE_Order)*0</f>
        <v>0</v>
      </c>
      <c r="BC227" s="419">
        <f>(1+Sensitivity_FE_Order)*0</f>
        <v>0</v>
      </c>
      <c r="BD227" s="419">
        <f>(1+Sensitivity_FE_Order)*0</f>
        <v>0</v>
      </c>
      <c r="BE227" s="264"/>
      <c r="BF227" s="456"/>
      <c r="BG227" s="467"/>
      <c r="BH227" s="374">
        <v>0</v>
      </c>
      <c r="BI227" s="263"/>
      <c r="BJ227" s="419">
        <f>(1+Sensitivity_FE_Order)*0</f>
        <v>0</v>
      </c>
      <c r="BK227" s="419">
        <f>(1+Sensitivity_FE_Order)*0</f>
        <v>0</v>
      </c>
      <c r="BL227" s="419">
        <f>(1+Sensitivity_FE_Order)*0</f>
        <v>0</v>
      </c>
      <c r="BM227" s="419">
        <f>(1+Sensitivity_FE_Order)*0</f>
        <v>0</v>
      </c>
      <c r="BN227" s="419">
        <f>(1+Sensitivity_FE_Order)*0</f>
        <v>0</v>
      </c>
      <c r="BO227" s="419">
        <f>(1+Sensitivity_FE_Order)*0</f>
        <v>0</v>
      </c>
      <c r="BP227" s="419">
        <f>(1+Sensitivity_FE_Order)*0</f>
        <v>0</v>
      </c>
      <c r="BQ227" s="419">
        <f>(1+Sensitivity_FE_Order)*0</f>
        <v>0</v>
      </c>
      <c r="BR227" s="419">
        <f>(1+Sensitivity_FE_Order)*0</f>
        <v>0</v>
      </c>
      <c r="BS227" s="263"/>
    </row>
    <row r="228" spans="1:71" ht="24" customHeight="1" outlineLevel="1" x14ac:dyDescent="0.2">
      <c r="A228" s="312"/>
      <c r="B228" s="546" t="s">
        <v>108</v>
      </c>
      <c r="C228" s="547" t="s">
        <v>190</v>
      </c>
      <c r="D228" s="528" t="s">
        <v>111</v>
      </c>
      <c r="E228" s="529" t="s">
        <v>141</v>
      </c>
      <c r="F228" s="531" t="s">
        <v>49</v>
      </c>
      <c r="G228" s="531" t="s">
        <v>47</v>
      </c>
      <c r="H228" s="530" t="s">
        <v>120</v>
      </c>
      <c r="I228" s="732"/>
      <c r="J228" s="453"/>
      <c r="K228" s="467"/>
      <c r="L228" s="467"/>
      <c r="M228" s="467"/>
      <c r="N228" s="264"/>
      <c r="O228" s="456"/>
      <c r="P228" s="264"/>
      <c r="Q228" s="264"/>
      <c r="R228" s="264"/>
      <c r="S228" s="374">
        <v>0.2</v>
      </c>
      <c r="T228" s="374">
        <v>0.2</v>
      </c>
      <c r="U228" s="374">
        <v>0.2</v>
      </c>
      <c r="V228" s="374">
        <v>0.2</v>
      </c>
      <c r="W228" s="374">
        <v>0.2</v>
      </c>
      <c r="X228" s="374">
        <v>0.2</v>
      </c>
      <c r="Y228" s="374">
        <v>0.2</v>
      </c>
      <c r="Z228" s="374">
        <v>0.2</v>
      </c>
      <c r="AA228" s="374">
        <v>0.2</v>
      </c>
      <c r="AB228" s="264"/>
      <c r="AC228" s="456"/>
      <c r="AD228" s="467"/>
      <c r="AE228" s="264"/>
      <c r="AF228" s="263"/>
      <c r="AG228" s="374">
        <v>0.2</v>
      </c>
      <c r="AH228" s="374">
        <v>0.2</v>
      </c>
      <c r="AI228" s="374">
        <v>0.2</v>
      </c>
      <c r="AJ228" s="374">
        <v>0.2</v>
      </c>
      <c r="AK228" s="374">
        <v>0.2</v>
      </c>
      <c r="AL228" s="374">
        <v>0.2</v>
      </c>
      <c r="AM228" s="374">
        <v>0.2</v>
      </c>
      <c r="AN228" s="374">
        <v>0.2</v>
      </c>
      <c r="AO228" s="374">
        <v>0.2</v>
      </c>
      <c r="AP228" s="264"/>
      <c r="AQ228" s="264"/>
      <c r="AR228" s="456"/>
      <c r="AS228" s="467"/>
      <c r="AT228" s="264"/>
      <c r="AU228" s="263"/>
      <c r="AV228" s="374">
        <v>0.2</v>
      </c>
      <c r="AW228" s="374">
        <v>0.2</v>
      </c>
      <c r="AX228" s="374">
        <v>0.2</v>
      </c>
      <c r="AY228" s="374">
        <v>0.2</v>
      </c>
      <c r="AZ228" s="374">
        <v>0.2</v>
      </c>
      <c r="BA228" s="374">
        <v>0.2</v>
      </c>
      <c r="BB228" s="374">
        <v>0.2</v>
      </c>
      <c r="BC228" s="374">
        <v>0.2</v>
      </c>
      <c r="BD228" s="374">
        <v>0.2</v>
      </c>
      <c r="BE228" s="264"/>
      <c r="BF228" s="456"/>
      <c r="BG228" s="467"/>
      <c r="BH228" s="264"/>
      <c r="BI228" s="263"/>
      <c r="BJ228" s="374">
        <v>0.2</v>
      </c>
      <c r="BK228" s="374">
        <v>0.2</v>
      </c>
      <c r="BL228" s="374">
        <v>0.2</v>
      </c>
      <c r="BM228" s="374">
        <v>0.2</v>
      </c>
      <c r="BN228" s="374">
        <v>0.2</v>
      </c>
      <c r="BO228" s="374">
        <v>0.2</v>
      </c>
      <c r="BP228" s="374">
        <v>0.2</v>
      </c>
      <c r="BQ228" s="374">
        <v>0.2</v>
      </c>
      <c r="BR228" s="374">
        <v>0.2</v>
      </c>
      <c r="BS228" s="263"/>
    </row>
    <row r="229" spans="1:71" ht="24" customHeight="1" outlineLevel="1" x14ac:dyDescent="0.2">
      <c r="A229" s="312"/>
      <c r="B229" s="401" t="s">
        <v>108</v>
      </c>
      <c r="C229" s="157" t="s">
        <v>190</v>
      </c>
      <c r="D229" s="567" t="s">
        <v>111</v>
      </c>
      <c r="E229" s="421" t="s">
        <v>142</v>
      </c>
      <c r="F229" s="87" t="s">
        <v>61</v>
      </c>
      <c r="G229" s="567" t="s">
        <v>50</v>
      </c>
      <c r="H229" s="569" t="s">
        <v>152</v>
      </c>
      <c r="I229" s="754" t="s">
        <v>156</v>
      </c>
      <c r="J229" s="453"/>
      <c r="K229" s="467"/>
      <c r="L229" s="467"/>
      <c r="M229" s="467"/>
      <c r="N229" s="264"/>
      <c r="O229" s="570" t="s">
        <v>220</v>
      </c>
      <c r="P229" s="264"/>
      <c r="Q229" s="374">
        <v>0.15</v>
      </c>
      <c r="R229" s="264"/>
      <c r="S229" s="419">
        <f>(1+Sensitivity_FE_Order)*(FE_vComplex_Sys_Effort*(1+PM_Overhead)*$Q229)</f>
        <v>24.75</v>
      </c>
      <c r="T229" s="419">
        <f>(1+Sensitivity_FE_Order)*(FE_vComplex_Sys_Effort*(1+PM_Overhead)*$Q229)</f>
        <v>24.75</v>
      </c>
      <c r="U229" s="419">
        <f>(1+Sensitivity_FE_Order)*(FE_vComplex_Sys_Effort*(1+PM_Overhead)*$Q229)</f>
        <v>24.75</v>
      </c>
      <c r="V229" s="419">
        <f>(1+Sensitivity_FE_Order)*(FE_vComplex_Sys_Effort*(1+PM_Overhead)*$Q229)</f>
        <v>24.75</v>
      </c>
      <c r="W229" s="419">
        <f>(1+Sensitivity_FE_Order)*0</f>
        <v>0</v>
      </c>
      <c r="X229" s="419">
        <f>(1+Sensitivity_FE_Order)*(FE_vComplex_Sys_Effort*(1+PM_Overhead)*$Q229)</f>
        <v>24.75</v>
      </c>
      <c r="Y229" s="419">
        <f>(1+Sensitivity_FE_Order)*(FE_vComplex_Sys_Effort*(1+PM_Overhead)*$Q229)*TierC_TierB_ratio</f>
        <v>12.375</v>
      </c>
      <c r="Z229" s="419">
        <f>(1+Sensitivity_FE_Order)*0</f>
        <v>0</v>
      </c>
      <c r="AA229" s="419">
        <f>Y229</f>
        <v>12.375</v>
      </c>
      <c r="AB229" s="264"/>
      <c r="AC229" s="570" t="s">
        <v>220</v>
      </c>
      <c r="AD229" s="467"/>
      <c r="AE229" s="374">
        <v>0.15</v>
      </c>
      <c r="AF229" s="263"/>
      <c r="AG229" s="419">
        <f>(1+Sensitivity_FE_Order)*(FE_vComplex_Sys_Effort*(1+PM_Overhead)*$AE229)</f>
        <v>24.75</v>
      </c>
      <c r="AH229" s="419">
        <f>(1+Sensitivity_FE_Order)*(FE_vComplex_Sys_Effort*(1+PM_Overhead)*$AE229)</f>
        <v>24.75</v>
      </c>
      <c r="AI229" s="419">
        <f>(1+Sensitivity_FE_Order)*(FE_vComplex_Sys_Effort*(1+PM_Overhead)*$AE229)</f>
        <v>24.75</v>
      </c>
      <c r="AJ229" s="419">
        <f>(1+Sensitivity_FE_Order)*(FE_vComplex_Sys_Effort*(1+PM_Overhead)*$AE229)</f>
        <v>24.75</v>
      </c>
      <c r="AK229" s="419">
        <f>(1+Sensitivity_FE_Order)*0</f>
        <v>0</v>
      </c>
      <c r="AL229" s="419">
        <v>0</v>
      </c>
      <c r="AM229" s="419">
        <f>(1+Sensitivity_FE_Order)*(FE_vComplex_Sys_Effort*(1+PM_Overhead)*$AE229)*TierC_TierB_ratio</f>
        <v>12.375</v>
      </c>
      <c r="AN229" s="419">
        <f>(1+Sensitivity_FE_Order)*0</f>
        <v>0</v>
      </c>
      <c r="AO229" s="419">
        <f>AM229</f>
        <v>12.375</v>
      </c>
      <c r="AP229" s="264"/>
      <c r="AQ229" s="264"/>
      <c r="AR229" s="570" t="s">
        <v>220</v>
      </c>
      <c r="AS229" s="467"/>
      <c r="AT229" s="374">
        <v>0.15</v>
      </c>
      <c r="AU229" s="263"/>
      <c r="AV229" s="419">
        <f>(1+Sensitivity_FE_Order)*((FE_vComplex_Sys_Effort*(1+PM_Overhead)*$AT229))</f>
        <v>24.75</v>
      </c>
      <c r="AW229" s="419">
        <f>(1+Sensitivity_FE_Order)*((FE_vComplex_Sys_Effort*(1+PM_Overhead)*$AT229))</f>
        <v>24.75</v>
      </c>
      <c r="AX229" s="419">
        <f>(1+Sensitivity_FE_Order)*((FE_vComplex_Sys_Effort*(1+PM_Overhead)*$AT229))</f>
        <v>24.75</v>
      </c>
      <c r="AY229" s="419">
        <f>(1+Sensitivity_FE_Order)*((FE_vComplex_Sys_Effort*(1+PM_Overhead)*$AT229))</f>
        <v>24.75</v>
      </c>
      <c r="AZ229" s="419">
        <f>(1+Sensitivity_FE_Order)*0</f>
        <v>0</v>
      </c>
      <c r="BA229" s="419">
        <f>(1+Sensitivity_FE_Order)*((FE_vComplex_Sys_Effort*(1+PM_Overhead)*$AT229))</f>
        <v>24.75</v>
      </c>
      <c r="BB229" s="419">
        <f>(1+Sensitivity_FE_Order)*((FE_vComplex_Sys_Effort*(1+PM_Overhead)*$AT229))*TierC_TierB_ratio</f>
        <v>12.375</v>
      </c>
      <c r="BC229" s="419">
        <f>(1+Sensitivity_FE_Order)*0</f>
        <v>0</v>
      </c>
      <c r="BD229" s="419">
        <f>BB229</f>
        <v>12.375</v>
      </c>
      <c r="BE229" s="264"/>
      <c r="BF229" s="570" t="s">
        <v>220</v>
      </c>
      <c r="BG229" s="467"/>
      <c r="BH229" s="374">
        <v>0.15</v>
      </c>
      <c r="BI229" s="263"/>
      <c r="BJ229" s="419">
        <f>(1+Sensitivity_FE_Order)*((FE_vComplex_Sys_Effort*(1+PM_Overhead)*$BH229))</f>
        <v>24.75</v>
      </c>
      <c r="BK229" s="419">
        <f>(1+Sensitivity_FE_Order)*((FE_vComplex_Sys_Effort*(1+PM_Overhead)*$BH229))</f>
        <v>24.75</v>
      </c>
      <c r="BL229" s="419">
        <f>(1+Sensitivity_FE_Order)*((FE_vComplex_Sys_Effort*(1+PM_Overhead)*$BH229))</f>
        <v>24.75</v>
      </c>
      <c r="BM229" s="419">
        <f>(1+Sensitivity_FE_Order)*((FE_vComplex_Sys_Effort*(1+PM_Overhead)*$BH229))</f>
        <v>24.75</v>
      </c>
      <c r="BN229" s="419">
        <f>(1+Sensitivity_FE_Order)*0</f>
        <v>0</v>
      </c>
      <c r="BO229" s="419">
        <v>0</v>
      </c>
      <c r="BP229" s="419">
        <f>(1+Sensitivity_FE_Order)*((FE_vComplex_Sys_Effort*(1+PM_Overhead)*$BH229))*TierC_TierB_ratio</f>
        <v>12.375</v>
      </c>
      <c r="BQ229" s="419">
        <f>(1+Sensitivity_FE_Order)*0</f>
        <v>0</v>
      </c>
      <c r="BR229" s="419">
        <f>BP229</f>
        <v>12.375</v>
      </c>
      <c r="BS229" s="263"/>
    </row>
    <row r="230" spans="1:71" ht="24" customHeight="1" outlineLevel="1" x14ac:dyDescent="0.2">
      <c r="A230" s="312"/>
      <c r="B230" s="401" t="s">
        <v>108</v>
      </c>
      <c r="C230" s="157" t="s">
        <v>190</v>
      </c>
      <c r="D230" s="567" t="s">
        <v>111</v>
      </c>
      <c r="E230" s="421" t="s">
        <v>142</v>
      </c>
      <c r="F230" s="464" t="s">
        <v>30</v>
      </c>
      <c r="G230" s="218" t="s">
        <v>50</v>
      </c>
      <c r="H230" s="569" t="s">
        <v>119</v>
      </c>
      <c r="I230" s="754"/>
      <c r="J230" s="453"/>
      <c r="K230" s="467"/>
      <c r="L230" s="467"/>
      <c r="M230" s="467"/>
      <c r="N230" s="264"/>
      <c r="O230" s="570"/>
      <c r="P230" s="264"/>
      <c r="Q230" s="264"/>
      <c r="R230" s="264"/>
      <c r="S230" s="419">
        <f>(1+Sensitivity_FE_Order)*0</f>
        <v>0</v>
      </c>
      <c r="T230" s="419">
        <f>(1+Sensitivity_FE_Order)*0</f>
        <v>0</v>
      </c>
      <c r="U230" s="419">
        <f>(1+Sensitivity_FE_Order)*0</f>
        <v>0</v>
      </c>
      <c r="V230" s="419">
        <f>(1+Sensitivity_FE_Order)*0</f>
        <v>0</v>
      </c>
      <c r="W230" s="419">
        <f>(1+Sensitivity_FE_Order)*0</f>
        <v>0</v>
      </c>
      <c r="X230" s="419">
        <f>(1+Sensitivity_FE_Order)*0</f>
        <v>0</v>
      </c>
      <c r="Y230" s="419">
        <f>(1+Sensitivity_FE_Order)*0</f>
        <v>0</v>
      </c>
      <c r="Z230" s="419">
        <f>(1+Sensitivity_FE_Order)*0</f>
        <v>0</v>
      </c>
      <c r="AA230" s="419">
        <f>(1+Sensitivity_FE_Order)*0</f>
        <v>0</v>
      </c>
      <c r="AB230" s="264"/>
      <c r="AC230" s="570"/>
      <c r="AD230" s="467"/>
      <c r="AE230" s="264"/>
      <c r="AF230" s="263"/>
      <c r="AG230" s="419">
        <f>(1+Sensitivity_FE_Order)*0</f>
        <v>0</v>
      </c>
      <c r="AH230" s="419">
        <f>(1+Sensitivity_FE_Order)*0</f>
        <v>0</v>
      </c>
      <c r="AI230" s="419">
        <f>(1+Sensitivity_FE_Order)*0</f>
        <v>0</v>
      </c>
      <c r="AJ230" s="419">
        <f>(1+Sensitivity_FE_Order)*0</f>
        <v>0</v>
      </c>
      <c r="AK230" s="419">
        <f>(1+Sensitivity_FE_Order)*0</f>
        <v>0</v>
      </c>
      <c r="AL230" s="419">
        <f>(1+Sensitivity_FE_Order)*0</f>
        <v>0</v>
      </c>
      <c r="AM230" s="419">
        <f>(1+Sensitivity_FE_Order)*0</f>
        <v>0</v>
      </c>
      <c r="AN230" s="419">
        <f>(1+Sensitivity_FE_Order)*0</f>
        <v>0</v>
      </c>
      <c r="AO230" s="419">
        <f>(1+Sensitivity_FE_Order)*0</f>
        <v>0</v>
      </c>
      <c r="AP230" s="264"/>
      <c r="AQ230" s="264"/>
      <c r="AR230" s="570"/>
      <c r="AS230" s="467"/>
      <c r="AT230" s="264"/>
      <c r="AU230" s="263"/>
      <c r="AV230" s="419">
        <f>(1+Sensitivity_FE_Order)*0</f>
        <v>0</v>
      </c>
      <c r="AW230" s="419">
        <f>(1+Sensitivity_FE_Order)*0</f>
        <v>0</v>
      </c>
      <c r="AX230" s="419">
        <f>(1+Sensitivity_FE_Order)*0</f>
        <v>0</v>
      </c>
      <c r="AY230" s="419">
        <f>(1+Sensitivity_FE_Order)*0</f>
        <v>0</v>
      </c>
      <c r="AZ230" s="419">
        <f>(1+Sensitivity_FE_Order)*0</f>
        <v>0</v>
      </c>
      <c r="BA230" s="419">
        <f>(1+Sensitivity_FE_Order)*0</f>
        <v>0</v>
      </c>
      <c r="BB230" s="419">
        <f>(1+Sensitivity_FE_Order)*0</f>
        <v>0</v>
      </c>
      <c r="BC230" s="419">
        <f>(1+Sensitivity_FE_Order)*0</f>
        <v>0</v>
      </c>
      <c r="BD230" s="419">
        <f>(1+Sensitivity_FE_Order)*0</f>
        <v>0</v>
      </c>
      <c r="BE230" s="264"/>
      <c r="BF230" s="570"/>
      <c r="BG230" s="467"/>
      <c r="BH230" s="374">
        <v>0</v>
      </c>
      <c r="BI230" s="263"/>
      <c r="BJ230" s="419">
        <f>(1+Sensitivity_FE_Order)*0</f>
        <v>0</v>
      </c>
      <c r="BK230" s="419">
        <f>(1+Sensitivity_FE_Order)*0</f>
        <v>0</v>
      </c>
      <c r="BL230" s="419">
        <f>(1+Sensitivity_FE_Order)*0</f>
        <v>0</v>
      </c>
      <c r="BM230" s="419">
        <f>(1+Sensitivity_FE_Order)*0</f>
        <v>0</v>
      </c>
      <c r="BN230" s="419">
        <f>(1+Sensitivity_FE_Order)*0</f>
        <v>0</v>
      </c>
      <c r="BO230" s="419">
        <f>(1+Sensitivity_FE_Order)*0</f>
        <v>0</v>
      </c>
      <c r="BP230" s="419">
        <f>(1+Sensitivity_FE_Order)*0</f>
        <v>0</v>
      </c>
      <c r="BQ230" s="419">
        <f>(1+Sensitivity_FE_Order)*0</f>
        <v>0</v>
      </c>
      <c r="BR230" s="419">
        <f>(1+Sensitivity_FE_Order)*0</f>
        <v>0</v>
      </c>
      <c r="BS230" s="263"/>
    </row>
    <row r="231" spans="1:71" ht="24" customHeight="1" outlineLevel="1" x14ac:dyDescent="0.2">
      <c r="A231" s="312"/>
      <c r="B231" s="401" t="s">
        <v>108</v>
      </c>
      <c r="C231" s="157" t="s">
        <v>190</v>
      </c>
      <c r="D231" s="567" t="s">
        <v>111</v>
      </c>
      <c r="E231" s="421" t="s">
        <v>142</v>
      </c>
      <c r="F231" s="218" t="s">
        <v>49</v>
      </c>
      <c r="G231" s="218" t="s">
        <v>47</v>
      </c>
      <c r="H231" s="569" t="s">
        <v>120</v>
      </c>
      <c r="I231" s="754"/>
      <c r="J231" s="453"/>
      <c r="K231" s="467"/>
      <c r="L231" s="467"/>
      <c r="M231" s="467"/>
      <c r="N231" s="264"/>
      <c r="O231" s="570"/>
      <c r="P231" s="264"/>
      <c r="Q231" s="264"/>
      <c r="R231" s="264"/>
      <c r="S231" s="374">
        <v>0.2</v>
      </c>
      <c r="T231" s="374">
        <v>0.2</v>
      </c>
      <c r="U231" s="374">
        <v>0.2</v>
      </c>
      <c r="V231" s="374">
        <v>0.2</v>
      </c>
      <c r="W231" s="374">
        <v>0.2</v>
      </c>
      <c r="X231" s="374">
        <v>0.2</v>
      </c>
      <c r="Y231" s="374">
        <v>0.2</v>
      </c>
      <c r="Z231" s="374">
        <v>0.2</v>
      </c>
      <c r="AA231" s="374">
        <v>0.2</v>
      </c>
      <c r="AB231" s="264"/>
      <c r="AC231" s="570"/>
      <c r="AD231" s="467"/>
      <c r="AE231" s="264"/>
      <c r="AF231" s="263"/>
      <c r="AG231" s="374">
        <v>0.2</v>
      </c>
      <c r="AH231" s="374">
        <v>0.2</v>
      </c>
      <c r="AI231" s="374">
        <v>0.2</v>
      </c>
      <c r="AJ231" s="374">
        <v>0.2</v>
      </c>
      <c r="AK231" s="374">
        <v>0.2</v>
      </c>
      <c r="AL231" s="374">
        <v>0.2</v>
      </c>
      <c r="AM231" s="374">
        <v>0.2</v>
      </c>
      <c r="AN231" s="374">
        <v>0.2</v>
      </c>
      <c r="AO231" s="374">
        <v>0.2</v>
      </c>
      <c r="AP231" s="264"/>
      <c r="AQ231" s="264"/>
      <c r="AR231" s="570"/>
      <c r="AS231" s="467"/>
      <c r="AT231" s="264"/>
      <c r="AU231" s="263"/>
      <c r="AV231" s="374">
        <v>0.2</v>
      </c>
      <c r="AW231" s="374">
        <v>0.2</v>
      </c>
      <c r="AX231" s="374">
        <v>0.2</v>
      </c>
      <c r="AY231" s="374">
        <v>0.2</v>
      </c>
      <c r="AZ231" s="374">
        <v>0.2</v>
      </c>
      <c r="BA231" s="374">
        <v>0.2</v>
      </c>
      <c r="BB231" s="374">
        <v>0.2</v>
      </c>
      <c r="BC231" s="374">
        <v>0.2</v>
      </c>
      <c r="BD231" s="374">
        <v>0.2</v>
      </c>
      <c r="BE231" s="264"/>
      <c r="BF231" s="570"/>
      <c r="BG231" s="467"/>
      <c r="BH231" s="264"/>
      <c r="BI231" s="263"/>
      <c r="BJ231" s="374">
        <v>0.2</v>
      </c>
      <c r="BK231" s="374">
        <v>0.2</v>
      </c>
      <c r="BL231" s="374">
        <v>0.2</v>
      </c>
      <c r="BM231" s="374">
        <v>0.2</v>
      </c>
      <c r="BN231" s="374">
        <v>0.2</v>
      </c>
      <c r="BO231" s="374">
        <v>0.2</v>
      </c>
      <c r="BP231" s="374">
        <v>0.2</v>
      </c>
      <c r="BQ231" s="374">
        <v>0.2</v>
      </c>
      <c r="BR231" s="374">
        <v>0.2</v>
      </c>
      <c r="BS231" s="263"/>
    </row>
    <row r="232" spans="1:71" ht="24" customHeight="1" outlineLevel="1" x14ac:dyDescent="0.2">
      <c r="A232" s="312"/>
      <c r="B232" s="546" t="s">
        <v>108</v>
      </c>
      <c r="C232" s="547" t="s">
        <v>191</v>
      </c>
      <c r="D232" s="531" t="s">
        <v>111</v>
      </c>
      <c r="E232" s="529" t="s">
        <v>143</v>
      </c>
      <c r="F232" s="604" t="s">
        <v>61</v>
      </c>
      <c r="G232" s="531" t="s">
        <v>50</v>
      </c>
      <c r="H232" s="530" t="s">
        <v>152</v>
      </c>
      <c r="I232" s="782" t="s">
        <v>246</v>
      </c>
      <c r="J232" s="605"/>
      <c r="K232" s="467"/>
      <c r="L232" s="467"/>
      <c r="M232" s="467"/>
      <c r="N232" s="264"/>
      <c r="O232" s="456" t="s">
        <v>220</v>
      </c>
      <c r="P232" s="264"/>
      <c r="Q232" s="374">
        <v>0.15</v>
      </c>
      <c r="R232" s="264"/>
      <c r="S232" s="419">
        <f>(1+Sensitivity_FE_Order)*(FE_vComplex_Sys_Effort*(1+PM_Overhead)*$Q232)</f>
        <v>24.75</v>
      </c>
      <c r="T232" s="419">
        <f>(1+Sensitivity_FE_Order)*(FE_vComplex_Sys_Effort*(1+PM_Overhead)*$Q232)</f>
        <v>24.75</v>
      </c>
      <c r="U232" s="419">
        <f>(1+Sensitivity_FE_Order)*(FE_vComplex_Sys_Effort*(1+PM_Overhead)*$Q232)</f>
        <v>24.75</v>
      </c>
      <c r="V232" s="419">
        <f>(1+Sensitivity_FE_Order)*(FE_vComplex_Sys_Effort*(1+PM_Overhead)*$Q232)</f>
        <v>24.75</v>
      </c>
      <c r="W232" s="419">
        <f>(1+Sensitivity_FE_Order)*0</f>
        <v>0</v>
      </c>
      <c r="X232" s="419">
        <f>(1+Sensitivity_FE_Order)*(FE_vComplex_Sys_Effort*(1+PM_Overhead)*$Q232)</f>
        <v>24.75</v>
      </c>
      <c r="Y232" s="419">
        <f>(1+Sensitivity_FE_Order)*(FE_vComplex_Sys_Effort*(1+PM_Overhead)*$Q232)*TierC_TierB_ratio</f>
        <v>12.375</v>
      </c>
      <c r="Z232" s="419">
        <f>(1+Sensitivity_FE_Order)*0</f>
        <v>0</v>
      </c>
      <c r="AA232" s="419">
        <f>Y232</f>
        <v>12.375</v>
      </c>
      <c r="AB232" s="264"/>
      <c r="AC232" s="456" t="s">
        <v>220</v>
      </c>
      <c r="AD232" s="467"/>
      <c r="AE232" s="374">
        <v>0.15</v>
      </c>
      <c r="AF232" s="263"/>
      <c r="AG232" s="419">
        <f>(1+Sensitivity_FE_Order)*(FE_vComplex_Sys_Effort*(1+PM_Overhead)*$AE232)</f>
        <v>24.75</v>
      </c>
      <c r="AH232" s="419">
        <f>(1+Sensitivity_FE_Order)*(FE_vComplex_Sys_Effort*(1+PM_Overhead)*$AE232)</f>
        <v>24.75</v>
      </c>
      <c r="AI232" s="419">
        <f>(1+Sensitivity_FE_Order)*(FE_vComplex_Sys_Effort*(1+PM_Overhead)*$AE232)</f>
        <v>24.75</v>
      </c>
      <c r="AJ232" s="419">
        <f>(1+Sensitivity_FE_Order)*(FE_vComplex_Sys_Effort*(1+PM_Overhead)*$AE232)</f>
        <v>24.75</v>
      </c>
      <c r="AK232" s="419">
        <f>(1+Sensitivity_FE_Order)*0</f>
        <v>0</v>
      </c>
      <c r="AL232" s="419">
        <v>0</v>
      </c>
      <c r="AM232" s="419">
        <f>(1+Sensitivity_FE_Order)*(FE_vComplex_Sys_Effort*(1+PM_Overhead)*$AE232)*TierC_TierB_ratio</f>
        <v>12.375</v>
      </c>
      <c r="AN232" s="419">
        <f>(1+Sensitivity_FE_Order)*0</f>
        <v>0</v>
      </c>
      <c r="AO232" s="419">
        <f>AM232</f>
        <v>12.375</v>
      </c>
      <c r="AP232" s="264"/>
      <c r="AQ232" s="264"/>
      <c r="AR232" s="456" t="s">
        <v>220</v>
      </c>
      <c r="AS232" s="467"/>
      <c r="AT232" s="374">
        <v>0.15</v>
      </c>
      <c r="AU232" s="263"/>
      <c r="AV232" s="419">
        <f>(1+Sensitivity_FE_Order)*((FE_vComplex_Sys_Effort*(1+PM_Overhead)*$AT232))</f>
        <v>24.75</v>
      </c>
      <c r="AW232" s="419">
        <f>(1+Sensitivity_FE_Order)*((FE_vComplex_Sys_Effort*(1+PM_Overhead)*$AT232))</f>
        <v>24.75</v>
      </c>
      <c r="AX232" s="419">
        <f>(1+Sensitivity_FE_Order)*((FE_vComplex_Sys_Effort*(1+PM_Overhead)*$AT232))</f>
        <v>24.75</v>
      </c>
      <c r="AY232" s="419">
        <f>(1+Sensitivity_FE_Order)*((FE_vComplex_Sys_Effort*(1+PM_Overhead)*$AT232))</f>
        <v>24.75</v>
      </c>
      <c r="AZ232" s="419">
        <f>(1+Sensitivity_FE_Order)*0</f>
        <v>0</v>
      </c>
      <c r="BA232" s="419">
        <f>(1+Sensitivity_FE_Order)*((FE_vComplex_Sys_Effort*(1+PM_Overhead)*$AT232))</f>
        <v>24.75</v>
      </c>
      <c r="BB232" s="419">
        <f>(1+Sensitivity_FE_Order)*((FE_vComplex_Sys_Effort*(1+PM_Overhead)*$AT232))*TierC_TierB_ratio</f>
        <v>12.375</v>
      </c>
      <c r="BC232" s="419">
        <f>(1+Sensitivity_FE_Order)*0</f>
        <v>0</v>
      </c>
      <c r="BD232" s="419">
        <f>BB232</f>
        <v>12.375</v>
      </c>
      <c r="BE232" s="264"/>
      <c r="BF232" s="456" t="s">
        <v>220</v>
      </c>
      <c r="BG232" s="467"/>
      <c r="BH232" s="374">
        <v>0.15</v>
      </c>
      <c r="BI232" s="263"/>
      <c r="BJ232" s="419">
        <f>(1+Sensitivity_FE_Order)*((FE_vComplex_Sys_Effort*(1+PM_Overhead)*$BH232))</f>
        <v>24.75</v>
      </c>
      <c r="BK232" s="419">
        <f>(1+Sensitivity_FE_Order)*((FE_vComplex_Sys_Effort*(1+PM_Overhead)*$BH232))</f>
        <v>24.75</v>
      </c>
      <c r="BL232" s="419">
        <f>(1+Sensitivity_FE_Order)*((FE_vComplex_Sys_Effort*(1+PM_Overhead)*$BH232))</f>
        <v>24.75</v>
      </c>
      <c r="BM232" s="419">
        <f>(1+Sensitivity_FE_Order)*((FE_vComplex_Sys_Effort*(1+PM_Overhead)*$BH232))</f>
        <v>24.75</v>
      </c>
      <c r="BN232" s="419">
        <f>(1+Sensitivity_FE_Order)*0</f>
        <v>0</v>
      </c>
      <c r="BO232" s="419">
        <v>0</v>
      </c>
      <c r="BP232" s="419">
        <f>(1+Sensitivity_FE_Order)*((FE_vComplex_Sys_Effort*(1+PM_Overhead)*$BH232))*TierC_TierB_ratio</f>
        <v>12.375</v>
      </c>
      <c r="BQ232" s="419">
        <f>(1+Sensitivity_FE_Order)*0</f>
        <v>0</v>
      </c>
      <c r="BR232" s="419">
        <f>BP232</f>
        <v>12.375</v>
      </c>
      <c r="BS232" s="263"/>
    </row>
    <row r="233" spans="1:71" ht="24" customHeight="1" outlineLevel="1" x14ac:dyDescent="0.2">
      <c r="A233" s="312"/>
      <c r="B233" s="546" t="s">
        <v>108</v>
      </c>
      <c r="C233" s="547" t="s">
        <v>191</v>
      </c>
      <c r="D233" s="531" t="s">
        <v>111</v>
      </c>
      <c r="E233" s="529" t="s">
        <v>143</v>
      </c>
      <c r="F233" s="458" t="s">
        <v>30</v>
      </c>
      <c r="G233" s="531" t="s">
        <v>50</v>
      </c>
      <c r="H233" s="530" t="s">
        <v>119</v>
      </c>
      <c r="I233" s="782"/>
      <c r="J233" s="605"/>
      <c r="K233" s="467"/>
      <c r="L233" s="467"/>
      <c r="M233" s="467"/>
      <c r="N233" s="264"/>
      <c r="O233" s="532"/>
      <c r="P233" s="264"/>
      <c r="Q233" s="264"/>
      <c r="R233" s="264"/>
      <c r="S233" s="419">
        <f>(1+Sensitivity_FE_Order)*0</f>
        <v>0</v>
      </c>
      <c r="T233" s="419">
        <f>(1+Sensitivity_FE_Order)*0</f>
        <v>0</v>
      </c>
      <c r="U233" s="419">
        <f>(1+Sensitivity_FE_Order)*0</f>
        <v>0</v>
      </c>
      <c r="V233" s="419">
        <f>(1+Sensitivity_FE_Order)*0</f>
        <v>0</v>
      </c>
      <c r="W233" s="419">
        <f>(1+Sensitivity_FE_Order)*0</f>
        <v>0</v>
      </c>
      <c r="X233" s="419">
        <f>(1+Sensitivity_FE_Order)*0</f>
        <v>0</v>
      </c>
      <c r="Y233" s="419">
        <f>(1+Sensitivity_FE_Order)*0</f>
        <v>0</v>
      </c>
      <c r="Z233" s="419">
        <f>(1+Sensitivity_FE_Order)*0</f>
        <v>0</v>
      </c>
      <c r="AA233" s="419">
        <f>(1+Sensitivity_FE_Order)*0</f>
        <v>0</v>
      </c>
      <c r="AB233" s="264"/>
      <c r="AC233" s="532"/>
      <c r="AD233" s="467"/>
      <c r="AE233" s="264"/>
      <c r="AF233" s="263"/>
      <c r="AG233" s="419">
        <f>(1+Sensitivity_FE_Order)*0</f>
        <v>0</v>
      </c>
      <c r="AH233" s="419">
        <f>(1+Sensitivity_FE_Order)*0</f>
        <v>0</v>
      </c>
      <c r="AI233" s="419">
        <f>(1+Sensitivity_FE_Order)*0</f>
        <v>0</v>
      </c>
      <c r="AJ233" s="419">
        <f>(1+Sensitivity_FE_Order)*0</f>
        <v>0</v>
      </c>
      <c r="AK233" s="419">
        <f>(1+Sensitivity_FE_Order)*0</f>
        <v>0</v>
      </c>
      <c r="AL233" s="419">
        <f>(1+Sensitivity_FE_Order)*0</f>
        <v>0</v>
      </c>
      <c r="AM233" s="419">
        <f>(1+Sensitivity_FE_Order)*0</f>
        <v>0</v>
      </c>
      <c r="AN233" s="419">
        <f>(1+Sensitivity_FE_Order)*0</f>
        <v>0</v>
      </c>
      <c r="AO233" s="419">
        <f>(1+Sensitivity_FE_Order)*0</f>
        <v>0</v>
      </c>
      <c r="AP233" s="264"/>
      <c r="AQ233" s="264"/>
      <c r="AR233" s="532"/>
      <c r="AS233" s="467"/>
      <c r="AT233" s="264"/>
      <c r="AU233" s="263"/>
      <c r="AV233" s="419">
        <f>(1+Sensitivity_FE_Order)*0</f>
        <v>0</v>
      </c>
      <c r="AW233" s="419">
        <f>(1+Sensitivity_FE_Order)*0</f>
        <v>0</v>
      </c>
      <c r="AX233" s="419">
        <f>(1+Sensitivity_FE_Order)*0</f>
        <v>0</v>
      </c>
      <c r="AY233" s="419">
        <f>(1+Sensitivity_FE_Order)*0</f>
        <v>0</v>
      </c>
      <c r="AZ233" s="419">
        <f>(1+Sensitivity_FE_Order)*0</f>
        <v>0</v>
      </c>
      <c r="BA233" s="419">
        <f>(1+Sensitivity_FE_Order)*0</f>
        <v>0</v>
      </c>
      <c r="BB233" s="419">
        <f>(1+Sensitivity_FE_Order)*0</f>
        <v>0</v>
      </c>
      <c r="BC233" s="419">
        <f>(1+Sensitivity_FE_Order)*0</f>
        <v>0</v>
      </c>
      <c r="BD233" s="419">
        <f>(1+Sensitivity_FE_Order)*0</f>
        <v>0</v>
      </c>
      <c r="BE233" s="264"/>
      <c r="BF233" s="532"/>
      <c r="BG233" s="467"/>
      <c r="BH233" s="374">
        <v>0</v>
      </c>
      <c r="BI233" s="263"/>
      <c r="BJ233" s="419">
        <f>(1+Sensitivity_FE_Order)*0</f>
        <v>0</v>
      </c>
      <c r="BK233" s="419">
        <f>(1+Sensitivity_FE_Order)*0</f>
        <v>0</v>
      </c>
      <c r="BL233" s="419">
        <f>(1+Sensitivity_FE_Order)*0</f>
        <v>0</v>
      </c>
      <c r="BM233" s="419">
        <f>(1+Sensitivity_FE_Order)*0</f>
        <v>0</v>
      </c>
      <c r="BN233" s="419">
        <f>(1+Sensitivity_FE_Order)*0</f>
        <v>0</v>
      </c>
      <c r="BO233" s="419">
        <f>(1+Sensitivity_FE_Order)*0</f>
        <v>0</v>
      </c>
      <c r="BP233" s="419">
        <f>(1+Sensitivity_FE_Order)*0</f>
        <v>0</v>
      </c>
      <c r="BQ233" s="419">
        <f>(1+Sensitivity_FE_Order)*0</f>
        <v>0</v>
      </c>
      <c r="BR233" s="419">
        <f>(1+Sensitivity_FE_Order)*0</f>
        <v>0</v>
      </c>
      <c r="BS233" s="263"/>
    </row>
    <row r="234" spans="1:71" ht="24" customHeight="1" outlineLevel="1" x14ac:dyDescent="0.2">
      <c r="A234" s="312"/>
      <c r="B234" s="546" t="s">
        <v>108</v>
      </c>
      <c r="C234" s="547" t="s">
        <v>191</v>
      </c>
      <c r="D234" s="531" t="s">
        <v>111</v>
      </c>
      <c r="E234" s="529" t="s">
        <v>143</v>
      </c>
      <c r="F234" s="531" t="s">
        <v>49</v>
      </c>
      <c r="G234" s="531" t="s">
        <v>47</v>
      </c>
      <c r="H234" s="530" t="s">
        <v>120</v>
      </c>
      <c r="I234" s="782"/>
      <c r="J234" s="605"/>
      <c r="K234" s="467"/>
      <c r="L234" s="467"/>
      <c r="M234" s="467"/>
      <c r="N234" s="264"/>
      <c r="O234" s="532"/>
      <c r="P234" s="264"/>
      <c r="Q234" s="264"/>
      <c r="R234" s="264"/>
      <c r="S234" s="374">
        <v>0.2</v>
      </c>
      <c r="T234" s="374">
        <v>0.2</v>
      </c>
      <c r="U234" s="374">
        <v>0.2</v>
      </c>
      <c r="V234" s="374">
        <v>0.2</v>
      </c>
      <c r="W234" s="374">
        <v>0.2</v>
      </c>
      <c r="X234" s="374">
        <v>0.2</v>
      </c>
      <c r="Y234" s="374">
        <v>0.2</v>
      </c>
      <c r="Z234" s="374">
        <v>0.2</v>
      </c>
      <c r="AA234" s="374">
        <v>0.2</v>
      </c>
      <c r="AB234" s="264"/>
      <c r="AC234" s="532"/>
      <c r="AD234" s="467"/>
      <c r="AE234" s="264"/>
      <c r="AF234" s="263"/>
      <c r="AG234" s="374">
        <v>0.2</v>
      </c>
      <c r="AH234" s="374">
        <v>0.2</v>
      </c>
      <c r="AI234" s="374">
        <v>0.2</v>
      </c>
      <c r="AJ234" s="374">
        <v>0.2</v>
      </c>
      <c r="AK234" s="374">
        <v>0.2</v>
      </c>
      <c r="AL234" s="374">
        <v>0.2</v>
      </c>
      <c r="AM234" s="374">
        <v>0.2</v>
      </c>
      <c r="AN234" s="374">
        <v>0.2</v>
      </c>
      <c r="AO234" s="374">
        <v>0.2</v>
      </c>
      <c r="AP234" s="264"/>
      <c r="AQ234" s="264"/>
      <c r="AR234" s="532"/>
      <c r="AS234" s="467"/>
      <c r="AT234" s="264"/>
      <c r="AU234" s="263"/>
      <c r="AV234" s="374">
        <v>0.2</v>
      </c>
      <c r="AW234" s="374">
        <v>0.2</v>
      </c>
      <c r="AX234" s="374">
        <v>0.2</v>
      </c>
      <c r="AY234" s="374">
        <v>0.2</v>
      </c>
      <c r="AZ234" s="374">
        <v>0.2</v>
      </c>
      <c r="BA234" s="374">
        <v>0.2</v>
      </c>
      <c r="BB234" s="374">
        <v>0.2</v>
      </c>
      <c r="BC234" s="374">
        <v>0.2</v>
      </c>
      <c r="BD234" s="374">
        <v>0.2</v>
      </c>
      <c r="BE234" s="264"/>
      <c r="BF234" s="532"/>
      <c r="BG234" s="467"/>
      <c r="BH234" s="264"/>
      <c r="BI234" s="263"/>
      <c r="BJ234" s="374">
        <v>0.2</v>
      </c>
      <c r="BK234" s="374">
        <v>0.2</v>
      </c>
      <c r="BL234" s="374">
        <v>0.2</v>
      </c>
      <c r="BM234" s="374">
        <v>0.2</v>
      </c>
      <c r="BN234" s="374">
        <v>0.2</v>
      </c>
      <c r="BO234" s="374">
        <v>0.2</v>
      </c>
      <c r="BP234" s="374">
        <v>0.2</v>
      </c>
      <c r="BQ234" s="374">
        <v>0.2</v>
      </c>
      <c r="BR234" s="374">
        <v>0.2</v>
      </c>
      <c r="BS234" s="263"/>
    </row>
    <row r="235" spans="1:71" ht="24" customHeight="1" outlineLevel="1" x14ac:dyDescent="0.2">
      <c r="A235" s="312"/>
      <c r="B235" s="546" t="s">
        <v>108</v>
      </c>
      <c r="C235" s="547" t="s">
        <v>188</v>
      </c>
      <c r="D235" s="562" t="s">
        <v>111</v>
      </c>
      <c r="E235" s="578" t="s">
        <v>147</v>
      </c>
      <c r="F235" s="606" t="s">
        <v>61</v>
      </c>
      <c r="G235" s="562" t="s">
        <v>50</v>
      </c>
      <c r="H235" s="607" t="s">
        <v>152</v>
      </c>
      <c r="I235" s="731" t="s">
        <v>505</v>
      </c>
      <c r="J235" s="605"/>
      <c r="K235" s="467"/>
      <c r="L235" s="467"/>
      <c r="M235" s="467"/>
      <c r="N235" s="264"/>
      <c r="O235" s="570" t="s">
        <v>220</v>
      </c>
      <c r="P235" s="264"/>
      <c r="Q235" s="374">
        <v>0.15</v>
      </c>
      <c r="R235" s="264"/>
      <c r="S235" s="419">
        <f>(1+Sensitivity_FE_Order)*(FE_vComplex_Sys_Effort*(1+PM_Overhead)*$Q235)</f>
        <v>24.75</v>
      </c>
      <c r="T235" s="419">
        <f>(1+Sensitivity_FE_Order)*(FE_vComplex_Sys_Effort*(1+PM_Overhead)*$Q235)</f>
        <v>24.75</v>
      </c>
      <c r="U235" s="419">
        <f>(1+Sensitivity_FE_Order)*(FE_vComplex_Sys_Effort*(1+PM_Overhead)*$Q235)</f>
        <v>24.75</v>
      </c>
      <c r="V235" s="419">
        <f>(1+Sensitivity_FE_Order)*(FE_vComplex_Sys_Effort*(1+PM_Overhead)*$Q235)</f>
        <v>24.75</v>
      </c>
      <c r="W235" s="419">
        <f>(1+Sensitivity_FE_Order)*0</f>
        <v>0</v>
      </c>
      <c r="X235" s="419">
        <f>(1+Sensitivity_FE_Order)*(FE_vComplex_Sys_Effort*(1+PM_Overhead)*$Q235)</f>
        <v>24.75</v>
      </c>
      <c r="Y235" s="419">
        <f>(1+Sensitivity_FE_Order)*(FE_vComplex_Sys_Effort*(1+PM_Overhead)*$Q235)*TierC_TierB_ratio</f>
        <v>12.375</v>
      </c>
      <c r="Z235" s="419">
        <f>(1+Sensitivity_FE_Order)*0</f>
        <v>0</v>
      </c>
      <c r="AA235" s="419">
        <f>Y235</f>
        <v>12.375</v>
      </c>
      <c r="AB235" s="264"/>
      <c r="AC235" s="570" t="s">
        <v>220</v>
      </c>
      <c r="AD235" s="467"/>
      <c r="AE235" s="374">
        <v>0.15</v>
      </c>
      <c r="AF235" s="263"/>
      <c r="AG235" s="419">
        <f>(1+Sensitivity_FE_Order)*(FE_vComplex_Sys_Effort*(1+PM_Overhead)*$AE235)</f>
        <v>24.75</v>
      </c>
      <c r="AH235" s="419">
        <f>(1+Sensitivity_FE_Order)*(FE_vComplex_Sys_Effort*(1+PM_Overhead)*$AE235)</f>
        <v>24.75</v>
      </c>
      <c r="AI235" s="419">
        <f>(1+Sensitivity_FE_Order)*(FE_vComplex_Sys_Effort*(1+PM_Overhead)*$AE235)</f>
        <v>24.75</v>
      </c>
      <c r="AJ235" s="419">
        <f>(1+Sensitivity_FE_Order)*(FE_vComplex_Sys_Effort*(1+PM_Overhead)*$AE235)</f>
        <v>24.75</v>
      </c>
      <c r="AK235" s="419">
        <f>(1+Sensitivity_FE_Order)*0</f>
        <v>0</v>
      </c>
      <c r="AL235" s="419">
        <v>0</v>
      </c>
      <c r="AM235" s="419">
        <f>(1+Sensitivity_FE_Order)*(FE_vComplex_Sys_Effort*(1+PM_Overhead)*$AE235)*TierC_TierB_ratio</f>
        <v>12.375</v>
      </c>
      <c r="AN235" s="419">
        <f>(1+Sensitivity_FE_Order)*0</f>
        <v>0</v>
      </c>
      <c r="AO235" s="419">
        <f>AM235</f>
        <v>12.375</v>
      </c>
      <c r="AP235" s="264"/>
      <c r="AQ235" s="264"/>
      <c r="AR235" s="570" t="s">
        <v>232</v>
      </c>
      <c r="AS235" s="467"/>
      <c r="AT235" s="374">
        <v>0.15</v>
      </c>
      <c r="AU235" s="263"/>
      <c r="AV235" s="419">
        <f>(1+Sensitivity_FE_Order)*((FE_vComplex_Sys_Effort*(1+PM_Overhead)*$AT235))</f>
        <v>24.75</v>
      </c>
      <c r="AW235" s="419">
        <f>(1+Sensitivity_FE_Order)*((FE_vComplex_Sys_Effort*(1+PM_Overhead)*$AT235))</f>
        <v>24.75</v>
      </c>
      <c r="AX235" s="419">
        <f>(1+Sensitivity_FE_Order)*((FE_vComplex_Sys_Effort*(1+PM_Overhead)*$AT235))</f>
        <v>24.75</v>
      </c>
      <c r="AY235" s="419">
        <f>(1+Sensitivity_FE_Order)*((FE_vComplex_Sys_Effort*(1+PM_Overhead)*$AT235))</f>
        <v>24.75</v>
      </c>
      <c r="AZ235" s="419">
        <f>(1+Sensitivity_FE_Order)*0</f>
        <v>0</v>
      </c>
      <c r="BA235" s="419">
        <f>(1+Sensitivity_FE_Order)*((FE_vComplex_Sys_Effort*(1+PM_Overhead)*$AT235))</f>
        <v>24.75</v>
      </c>
      <c r="BB235" s="419">
        <f>(1+Sensitivity_FE_Order)*((FE_vComplex_Sys_Effort*(1+PM_Overhead)*$AT235))*TierC_TierB_ratio</f>
        <v>12.375</v>
      </c>
      <c r="BC235" s="419">
        <f>(1+Sensitivity_FE_Order)*0</f>
        <v>0</v>
      </c>
      <c r="BD235" s="419">
        <f>BB235</f>
        <v>12.375</v>
      </c>
      <c r="BE235" s="264"/>
      <c r="BF235" s="570" t="s">
        <v>232</v>
      </c>
      <c r="BG235" s="467"/>
      <c r="BH235" s="374">
        <v>0.15</v>
      </c>
      <c r="BI235" s="263"/>
      <c r="BJ235" s="419">
        <f>(1+Sensitivity_FE_Order)*((FE_vComplex_Sys_Effort*(1+PM_Overhead)*$BH235))</f>
        <v>24.75</v>
      </c>
      <c r="BK235" s="419">
        <f>(1+Sensitivity_FE_Order)*((FE_vComplex_Sys_Effort*(1+PM_Overhead)*$BH235))</f>
        <v>24.75</v>
      </c>
      <c r="BL235" s="419">
        <f>(1+Sensitivity_FE_Order)*((FE_vComplex_Sys_Effort*(1+PM_Overhead)*$BH235))</f>
        <v>24.75</v>
      </c>
      <c r="BM235" s="419">
        <f>(1+Sensitivity_FE_Order)*((FE_vComplex_Sys_Effort*(1+PM_Overhead)*$BH235))</f>
        <v>24.75</v>
      </c>
      <c r="BN235" s="419">
        <f>(1+Sensitivity_FE_Order)*0</f>
        <v>0</v>
      </c>
      <c r="BO235" s="419">
        <v>0</v>
      </c>
      <c r="BP235" s="419">
        <f>(1+Sensitivity_FE_Order)*((FE_vComplex_Sys_Effort*(1+PM_Overhead)*$BH235))*TierC_TierB_ratio</f>
        <v>12.375</v>
      </c>
      <c r="BQ235" s="419">
        <f>(1+Sensitivity_FE_Order)*0</f>
        <v>0</v>
      </c>
      <c r="BR235" s="419">
        <f>BP235</f>
        <v>12.375</v>
      </c>
      <c r="BS235" s="263"/>
    </row>
    <row r="236" spans="1:71" ht="24" customHeight="1" outlineLevel="1" x14ac:dyDescent="0.2">
      <c r="A236" s="312"/>
      <c r="B236" s="546" t="s">
        <v>108</v>
      </c>
      <c r="C236" s="547" t="s">
        <v>188</v>
      </c>
      <c r="D236" s="562" t="s">
        <v>111</v>
      </c>
      <c r="E236" s="578" t="s">
        <v>147</v>
      </c>
      <c r="F236" s="432" t="s">
        <v>30</v>
      </c>
      <c r="G236" s="562" t="s">
        <v>50</v>
      </c>
      <c r="H236" s="607" t="s">
        <v>119</v>
      </c>
      <c r="I236" s="731"/>
      <c r="J236" s="605"/>
      <c r="K236" s="467"/>
      <c r="L236" s="467"/>
      <c r="M236" s="467"/>
      <c r="N236" s="264"/>
      <c r="O236" s="608"/>
      <c r="P236" s="264"/>
      <c r="Q236" s="264"/>
      <c r="R236" s="264"/>
      <c r="S236" s="419">
        <f>(1+Sensitivity_FE_Order)*0</f>
        <v>0</v>
      </c>
      <c r="T236" s="419">
        <f>(1+Sensitivity_FE_Order)*0</f>
        <v>0</v>
      </c>
      <c r="U236" s="419">
        <f>(1+Sensitivity_FE_Order)*0</f>
        <v>0</v>
      </c>
      <c r="V236" s="419">
        <f>(1+Sensitivity_FE_Order)*0</f>
        <v>0</v>
      </c>
      <c r="W236" s="419">
        <f>(1+Sensitivity_FE_Order)*0</f>
        <v>0</v>
      </c>
      <c r="X236" s="419">
        <f>(1+Sensitivity_FE_Order)*0</f>
        <v>0</v>
      </c>
      <c r="Y236" s="419">
        <f>(1+Sensitivity_FE_Order)*0</f>
        <v>0</v>
      </c>
      <c r="Z236" s="419">
        <f>(1+Sensitivity_FE_Order)*0</f>
        <v>0</v>
      </c>
      <c r="AA236" s="419">
        <f>(1+Sensitivity_FE_Order)*0</f>
        <v>0</v>
      </c>
      <c r="AB236" s="264"/>
      <c r="AC236" s="608"/>
      <c r="AD236" s="467"/>
      <c r="AE236" s="264"/>
      <c r="AF236" s="263"/>
      <c r="AG236" s="419">
        <f>(1+Sensitivity_FE_Order)*0</f>
        <v>0</v>
      </c>
      <c r="AH236" s="419">
        <f>(1+Sensitivity_FE_Order)*0</f>
        <v>0</v>
      </c>
      <c r="AI236" s="419">
        <f>(1+Sensitivity_FE_Order)*0</f>
        <v>0</v>
      </c>
      <c r="AJ236" s="419">
        <f>(1+Sensitivity_FE_Order)*0</f>
        <v>0</v>
      </c>
      <c r="AK236" s="419">
        <f>(1+Sensitivity_FE_Order)*0</f>
        <v>0</v>
      </c>
      <c r="AL236" s="419">
        <f>(1+Sensitivity_FE_Order)*0</f>
        <v>0</v>
      </c>
      <c r="AM236" s="419">
        <f>(1+Sensitivity_FE_Order)*0</f>
        <v>0</v>
      </c>
      <c r="AN236" s="419">
        <f>(1+Sensitivity_FE_Order)*0</f>
        <v>0</v>
      </c>
      <c r="AO236" s="419">
        <f>(1+Sensitivity_FE_Order)*0</f>
        <v>0</v>
      </c>
      <c r="AP236" s="264"/>
      <c r="AQ236" s="264"/>
      <c r="AR236" s="608"/>
      <c r="AS236" s="467"/>
      <c r="AT236" s="264"/>
      <c r="AU236" s="263"/>
      <c r="AV236" s="419">
        <f>(1+Sensitivity_FE_Order)*0</f>
        <v>0</v>
      </c>
      <c r="AW236" s="419">
        <f>(1+Sensitivity_FE_Order)*0</f>
        <v>0</v>
      </c>
      <c r="AX236" s="419">
        <f>(1+Sensitivity_FE_Order)*0</f>
        <v>0</v>
      </c>
      <c r="AY236" s="419">
        <f>(1+Sensitivity_FE_Order)*0</f>
        <v>0</v>
      </c>
      <c r="AZ236" s="419">
        <f>(1+Sensitivity_FE_Order)*0</f>
        <v>0</v>
      </c>
      <c r="BA236" s="419">
        <f>(1+Sensitivity_FE_Order)*0</f>
        <v>0</v>
      </c>
      <c r="BB236" s="419">
        <f>(1+Sensitivity_FE_Order)*0</f>
        <v>0</v>
      </c>
      <c r="BC236" s="419">
        <f>(1+Sensitivity_FE_Order)*0</f>
        <v>0</v>
      </c>
      <c r="BD236" s="419">
        <f>(1+Sensitivity_FE_Order)*0</f>
        <v>0</v>
      </c>
      <c r="BE236" s="264"/>
      <c r="BF236" s="608"/>
      <c r="BG236" s="467"/>
      <c r="BH236" s="374">
        <v>0</v>
      </c>
      <c r="BI236" s="263"/>
      <c r="BJ236" s="419">
        <f>(1+Sensitivity_FE_Order)*0</f>
        <v>0</v>
      </c>
      <c r="BK236" s="419">
        <f>(1+Sensitivity_FE_Order)*0</f>
        <v>0</v>
      </c>
      <c r="BL236" s="419">
        <f>(1+Sensitivity_FE_Order)*0</f>
        <v>0</v>
      </c>
      <c r="BM236" s="419">
        <f>(1+Sensitivity_FE_Order)*0</f>
        <v>0</v>
      </c>
      <c r="BN236" s="419">
        <f>(1+Sensitivity_FE_Order)*0</f>
        <v>0</v>
      </c>
      <c r="BO236" s="419">
        <f>(1+Sensitivity_FE_Order)*0</f>
        <v>0</v>
      </c>
      <c r="BP236" s="419">
        <f>(1+Sensitivity_FE_Order)*0</f>
        <v>0</v>
      </c>
      <c r="BQ236" s="419">
        <f>(1+Sensitivity_FE_Order)*0</f>
        <v>0</v>
      </c>
      <c r="BR236" s="419">
        <f>(1+Sensitivity_FE_Order)*0</f>
        <v>0</v>
      </c>
      <c r="BS236" s="263"/>
    </row>
    <row r="237" spans="1:71" ht="24" customHeight="1" outlineLevel="1" x14ac:dyDescent="0.2">
      <c r="A237" s="312"/>
      <c r="B237" s="546" t="s">
        <v>108</v>
      </c>
      <c r="C237" s="547" t="s">
        <v>188</v>
      </c>
      <c r="D237" s="562" t="s">
        <v>111</v>
      </c>
      <c r="E237" s="578" t="s">
        <v>147</v>
      </c>
      <c r="F237" s="562" t="s">
        <v>49</v>
      </c>
      <c r="G237" s="562" t="s">
        <v>47</v>
      </c>
      <c r="H237" s="607" t="s">
        <v>120</v>
      </c>
      <c r="I237" s="731"/>
      <c r="J237" s="605"/>
      <c r="K237" s="467"/>
      <c r="L237" s="467"/>
      <c r="M237" s="467"/>
      <c r="N237" s="264"/>
      <c r="O237" s="608"/>
      <c r="P237" s="264"/>
      <c r="Q237" s="264"/>
      <c r="R237" s="264"/>
      <c r="S237" s="374">
        <v>0.2</v>
      </c>
      <c r="T237" s="374">
        <v>0.2</v>
      </c>
      <c r="U237" s="374">
        <v>0.2</v>
      </c>
      <c r="V237" s="374">
        <v>0.2</v>
      </c>
      <c r="W237" s="374">
        <v>0.2</v>
      </c>
      <c r="X237" s="374">
        <v>0.2</v>
      </c>
      <c r="Y237" s="374">
        <v>0.2</v>
      </c>
      <c r="Z237" s="374">
        <v>0.2</v>
      </c>
      <c r="AA237" s="374">
        <v>0.2</v>
      </c>
      <c r="AB237" s="264"/>
      <c r="AC237" s="608"/>
      <c r="AD237" s="467"/>
      <c r="AE237" s="264"/>
      <c r="AF237" s="263"/>
      <c r="AG237" s="374">
        <v>0.2</v>
      </c>
      <c r="AH237" s="374">
        <v>0.2</v>
      </c>
      <c r="AI237" s="374">
        <v>0.2</v>
      </c>
      <c r="AJ237" s="374">
        <v>0.2</v>
      </c>
      <c r="AK237" s="374">
        <v>0.2</v>
      </c>
      <c r="AL237" s="374">
        <v>0.2</v>
      </c>
      <c r="AM237" s="374">
        <v>0.2</v>
      </c>
      <c r="AN237" s="374">
        <v>0.2</v>
      </c>
      <c r="AO237" s="374">
        <v>0.2</v>
      </c>
      <c r="AP237" s="264"/>
      <c r="AQ237" s="264"/>
      <c r="AR237" s="608"/>
      <c r="AS237" s="467"/>
      <c r="AT237" s="264"/>
      <c r="AU237" s="263"/>
      <c r="AV237" s="374">
        <v>0.2</v>
      </c>
      <c r="AW237" s="374">
        <v>0.2</v>
      </c>
      <c r="AX237" s="374">
        <v>0.2</v>
      </c>
      <c r="AY237" s="374">
        <v>0.2</v>
      </c>
      <c r="AZ237" s="374">
        <v>0.2</v>
      </c>
      <c r="BA237" s="374">
        <v>0.2</v>
      </c>
      <c r="BB237" s="374">
        <v>0.2</v>
      </c>
      <c r="BC237" s="374">
        <v>0.2</v>
      </c>
      <c r="BD237" s="374">
        <v>0.2</v>
      </c>
      <c r="BE237" s="264"/>
      <c r="BF237" s="608"/>
      <c r="BG237" s="467"/>
      <c r="BH237" s="264"/>
      <c r="BI237" s="263"/>
      <c r="BJ237" s="374">
        <v>0.2</v>
      </c>
      <c r="BK237" s="374">
        <v>0.2</v>
      </c>
      <c r="BL237" s="374">
        <v>0.2</v>
      </c>
      <c r="BM237" s="374">
        <v>0.2</v>
      </c>
      <c r="BN237" s="374">
        <v>0.2</v>
      </c>
      <c r="BO237" s="374">
        <v>0.2</v>
      </c>
      <c r="BP237" s="374">
        <v>0.2</v>
      </c>
      <c r="BQ237" s="374">
        <v>0.2</v>
      </c>
      <c r="BR237" s="374">
        <v>0.2</v>
      </c>
      <c r="BS237" s="263"/>
    </row>
    <row r="238" spans="1:71" ht="24" customHeight="1" outlineLevel="1" x14ac:dyDescent="0.2">
      <c r="A238" s="312"/>
      <c r="B238" s="437" t="s">
        <v>108</v>
      </c>
      <c r="C238" s="171" t="s">
        <v>170</v>
      </c>
      <c r="D238" s="528" t="s">
        <v>111</v>
      </c>
      <c r="E238" s="579" t="s">
        <v>112</v>
      </c>
      <c r="F238" s="470" t="s">
        <v>61</v>
      </c>
      <c r="G238" s="528" t="s">
        <v>50</v>
      </c>
      <c r="H238" s="609" t="s">
        <v>152</v>
      </c>
      <c r="I238" s="773" t="s">
        <v>249</v>
      </c>
      <c r="J238" s="605"/>
      <c r="K238" s="467"/>
      <c r="L238" s="467"/>
      <c r="M238" s="467"/>
      <c r="N238" s="264"/>
      <c r="O238" s="579" t="s">
        <v>228</v>
      </c>
      <c r="P238" s="264"/>
      <c r="Q238" s="374">
        <v>0.05</v>
      </c>
      <c r="R238" s="264"/>
      <c r="S238" s="419">
        <f>(1+Sensitivity_FE_Order)*(FE_vComplex_Sys_Effort*(1+PM_Overhead)*$Q238)</f>
        <v>8.25</v>
      </c>
      <c r="T238" s="419">
        <f>(1+Sensitivity_FE_Order)*(FE_vComplex_Sys_Effort*(1+PM_Overhead)*$Q238)</f>
        <v>8.25</v>
      </c>
      <c r="U238" s="419">
        <f>(1+Sensitivity_FE_Order)*(FE_vComplex_Sys_Effort*(1+PM_Overhead)*$Q238)</f>
        <v>8.25</v>
      </c>
      <c r="V238" s="419">
        <f>(1+Sensitivity_FE_Order)*(FE_vComplex_Sys_Effort*(1+PM_Overhead)*$Q238)</f>
        <v>8.25</v>
      </c>
      <c r="W238" s="419">
        <f>(1+Sensitivity_FE_Order)*0</f>
        <v>0</v>
      </c>
      <c r="X238" s="419">
        <f>(1+Sensitivity_FE_Order)*0</f>
        <v>0</v>
      </c>
      <c r="Y238" s="419">
        <f>(1+Sensitivity_FE_Order)*(FE_vComplex_Sys_Effort*(1+PM_Overhead)*$Q238)*TierC_TierB_ratio</f>
        <v>4.125</v>
      </c>
      <c r="Z238" s="419">
        <f>(1+Sensitivity_FE_Order)*0</f>
        <v>0</v>
      </c>
      <c r="AA238" s="419">
        <f>Y238</f>
        <v>4.125</v>
      </c>
      <c r="AB238" s="264"/>
      <c r="AC238" s="579" t="s">
        <v>228</v>
      </c>
      <c r="AD238" s="467"/>
      <c r="AE238" s="374">
        <v>0.05</v>
      </c>
      <c r="AF238" s="263"/>
      <c r="AG238" s="419">
        <f>(1+Sensitivity_FE_Order)*(FE_vComplex_Sys_Effort*(1+PM_Overhead)*$AE238)</f>
        <v>8.25</v>
      </c>
      <c r="AH238" s="419">
        <f>(1+Sensitivity_FE_Order)*(FE_vComplex_Sys_Effort*(1+PM_Overhead)*$AE238)</f>
        <v>8.25</v>
      </c>
      <c r="AI238" s="419">
        <f>(1+Sensitivity_FE_Order)*(FE_vComplex_Sys_Effort*(1+PM_Overhead)*$AE238)</f>
        <v>8.25</v>
      </c>
      <c r="AJ238" s="419">
        <f>(1+Sensitivity_FE_Order)*(FE_vComplex_Sys_Effort*(1+PM_Overhead)*$AE238)</f>
        <v>8.25</v>
      </c>
      <c r="AK238" s="419">
        <f>(1+Sensitivity_FE_Order)*0</f>
        <v>0</v>
      </c>
      <c r="AL238" s="419">
        <f>(1+Sensitivity_FE_Order)*0</f>
        <v>0</v>
      </c>
      <c r="AM238" s="419">
        <f>(1+Sensitivity_FE_Order)*(FE_vComplex_Sys_Effort*(1+PM_Overhead)*$AE238)*TierC_TierB_ratio</f>
        <v>4.125</v>
      </c>
      <c r="AN238" s="419">
        <f>(1+Sensitivity_FE_Order)*0</f>
        <v>0</v>
      </c>
      <c r="AO238" s="419">
        <f>AM238</f>
        <v>4.125</v>
      </c>
      <c r="AP238" s="264"/>
      <c r="AQ238" s="264"/>
      <c r="AR238" s="579" t="s">
        <v>228</v>
      </c>
      <c r="AS238" s="467"/>
      <c r="AT238" s="374">
        <v>0.05</v>
      </c>
      <c r="AU238" s="263"/>
      <c r="AV238" s="419">
        <f>(1+Sensitivity_FE_Order)*((FE_vComplex_Sys_Effort*(1+PM_Overhead)*$AT238))</f>
        <v>8.25</v>
      </c>
      <c r="AW238" s="419">
        <f>(1+Sensitivity_FE_Order)*((FE_vComplex_Sys_Effort*(1+PM_Overhead)*$AT238))</f>
        <v>8.25</v>
      </c>
      <c r="AX238" s="419">
        <f>(1+Sensitivity_FE_Order)*((FE_vComplex_Sys_Effort*(1+PM_Overhead)*$AT238))</f>
        <v>8.25</v>
      </c>
      <c r="AY238" s="419">
        <f>(1+Sensitivity_FE_Order)*((FE_vComplex_Sys_Effort*(1+PM_Overhead)*$AT238))</f>
        <v>8.25</v>
      </c>
      <c r="AZ238" s="419">
        <f>(1+Sensitivity_FE_Order)*0</f>
        <v>0</v>
      </c>
      <c r="BA238" s="419">
        <f>(1+Sensitivity_FE_Order)*0</f>
        <v>0</v>
      </c>
      <c r="BB238" s="419">
        <f>(1+Sensitivity_FE_Order)*((FE_vComplex_Sys_Effort*(1+PM_Overhead)*$AT238))*TierC_TierB_ratio</f>
        <v>4.125</v>
      </c>
      <c r="BC238" s="419">
        <f>(1+Sensitivity_FE_Order)*0</f>
        <v>0</v>
      </c>
      <c r="BD238" s="419">
        <f>BB238</f>
        <v>4.125</v>
      </c>
      <c r="BE238" s="264"/>
      <c r="BF238" s="579" t="s">
        <v>228</v>
      </c>
      <c r="BG238" s="467"/>
      <c r="BH238" s="374">
        <v>0.05</v>
      </c>
      <c r="BI238" s="263"/>
      <c r="BJ238" s="419">
        <f>(1+Sensitivity_FE_Order)*((FE_vComplex_Sys_Effort*(1+PM_Overhead)*$BH238))</f>
        <v>8.25</v>
      </c>
      <c r="BK238" s="419">
        <f>(1+Sensitivity_FE_Order)*((FE_vComplex_Sys_Effort*(1+PM_Overhead)*$BH238))</f>
        <v>8.25</v>
      </c>
      <c r="BL238" s="419">
        <f>(1+Sensitivity_FE_Order)*((FE_vComplex_Sys_Effort*(1+PM_Overhead)*$BH238))</f>
        <v>8.25</v>
      </c>
      <c r="BM238" s="419">
        <f>(1+Sensitivity_FE_Order)*((FE_vComplex_Sys_Effort*(1+PM_Overhead)*$BH238))</f>
        <v>8.25</v>
      </c>
      <c r="BN238" s="419">
        <f>(1+Sensitivity_FE_Order)*0</f>
        <v>0</v>
      </c>
      <c r="BO238" s="419">
        <f>(1+Sensitivity_FE_Order)*0</f>
        <v>0</v>
      </c>
      <c r="BP238" s="419">
        <f>(1+Sensitivity_FE_Order)*((FE_vComplex_Sys_Effort*(1+PM_Overhead)*$BH238))*TierC_TierB_ratio</f>
        <v>4.125</v>
      </c>
      <c r="BQ238" s="419">
        <f>(1+Sensitivity_FE_Order)*0</f>
        <v>0</v>
      </c>
      <c r="BR238" s="419">
        <f>BP238</f>
        <v>4.125</v>
      </c>
      <c r="BS238" s="263"/>
    </row>
    <row r="239" spans="1:71" ht="24" customHeight="1" outlineLevel="1" x14ac:dyDescent="0.2">
      <c r="A239" s="312"/>
      <c r="B239" s="437"/>
      <c r="C239" s="171"/>
      <c r="D239" s="528" t="s">
        <v>111</v>
      </c>
      <c r="E239" s="579" t="s">
        <v>112</v>
      </c>
      <c r="F239" s="470" t="s">
        <v>30</v>
      </c>
      <c r="G239" s="528" t="s">
        <v>50</v>
      </c>
      <c r="H239" s="609" t="s">
        <v>119</v>
      </c>
      <c r="I239" s="774"/>
      <c r="J239" s="605"/>
      <c r="K239" s="467"/>
      <c r="L239" s="467"/>
      <c r="M239" s="467"/>
      <c r="N239" s="264"/>
      <c r="O239" s="761" t="s">
        <v>211</v>
      </c>
      <c r="P239" s="264"/>
      <c r="Q239" s="264"/>
      <c r="R239" s="264"/>
      <c r="S239" s="419">
        <f>(1+Sensitivity_FE_Order)*0</f>
        <v>0</v>
      </c>
      <c r="T239" s="419">
        <f>(1+Sensitivity_FE_Order)*0</f>
        <v>0</v>
      </c>
      <c r="U239" s="419">
        <f>(1+Sensitivity_FE_Order)*0</f>
        <v>0</v>
      </c>
      <c r="V239" s="419">
        <f>(1+Sensitivity_FE_Order)*0</f>
        <v>0</v>
      </c>
      <c r="W239" s="419">
        <f>(1+Sensitivity_FE_Order)*0</f>
        <v>0</v>
      </c>
      <c r="X239" s="419">
        <f>(1+Sensitivity_FE_Order)*0</f>
        <v>0</v>
      </c>
      <c r="Y239" s="419">
        <f>(1+Sensitivity_FE_Order)*0</f>
        <v>0</v>
      </c>
      <c r="Z239" s="419">
        <f>(1+Sensitivity_FE_Order)*0</f>
        <v>0</v>
      </c>
      <c r="AA239" s="419">
        <f>(1+Sensitivity_FE_Order)*0</f>
        <v>0</v>
      </c>
      <c r="AB239" s="264"/>
      <c r="AC239" s="761" t="s">
        <v>211</v>
      </c>
      <c r="AD239" s="467"/>
      <c r="AE239" s="264"/>
      <c r="AF239" s="263"/>
      <c r="AG239" s="419">
        <f>(1+Sensitivity_FE_Order)*0</f>
        <v>0</v>
      </c>
      <c r="AH239" s="419">
        <f>(1+Sensitivity_FE_Order)*0</f>
        <v>0</v>
      </c>
      <c r="AI239" s="419">
        <f>(1+Sensitivity_FE_Order)*0</f>
        <v>0</v>
      </c>
      <c r="AJ239" s="419">
        <f>(1+Sensitivity_FE_Order)*0</f>
        <v>0</v>
      </c>
      <c r="AK239" s="419">
        <f>(1+Sensitivity_FE_Order)*0</f>
        <v>0</v>
      </c>
      <c r="AL239" s="419">
        <f>(1+Sensitivity_FE_Order)*0</f>
        <v>0</v>
      </c>
      <c r="AM239" s="419">
        <f>(1+Sensitivity_FE_Order)*0</f>
        <v>0</v>
      </c>
      <c r="AN239" s="419">
        <f>(1+Sensitivity_FE_Order)*0</f>
        <v>0</v>
      </c>
      <c r="AO239" s="419">
        <f>(1+Sensitivity_FE_Order)*0</f>
        <v>0</v>
      </c>
      <c r="AP239" s="264"/>
      <c r="AQ239" s="264"/>
      <c r="AR239" s="761" t="s">
        <v>211</v>
      </c>
      <c r="AS239" s="467"/>
      <c r="AT239" s="264"/>
      <c r="AU239" s="263"/>
      <c r="AV239" s="419">
        <f>(1+Sensitivity_FE_Order)*0</f>
        <v>0</v>
      </c>
      <c r="AW239" s="419">
        <f>(1+Sensitivity_FE_Order)*0</f>
        <v>0</v>
      </c>
      <c r="AX239" s="419">
        <f>(1+Sensitivity_FE_Order)*0</f>
        <v>0</v>
      </c>
      <c r="AY239" s="419">
        <f>(1+Sensitivity_FE_Order)*0</f>
        <v>0</v>
      </c>
      <c r="AZ239" s="419">
        <f>(1+Sensitivity_FE_Order)*0</f>
        <v>0</v>
      </c>
      <c r="BA239" s="419">
        <f>(1+Sensitivity_FE_Order)*0</f>
        <v>0</v>
      </c>
      <c r="BB239" s="419">
        <f>(1+Sensitivity_FE_Order)*0</f>
        <v>0</v>
      </c>
      <c r="BC239" s="419">
        <f>(1+Sensitivity_FE_Order)*0</f>
        <v>0</v>
      </c>
      <c r="BD239" s="419">
        <f>(1+Sensitivity_FE_Order)*0</f>
        <v>0</v>
      </c>
      <c r="BE239" s="264"/>
      <c r="BF239" s="761" t="s">
        <v>211</v>
      </c>
      <c r="BG239" s="467"/>
      <c r="BH239" s="374">
        <v>0</v>
      </c>
      <c r="BI239" s="263"/>
      <c r="BJ239" s="419">
        <f>(1+Sensitivity_FE_Order)*0</f>
        <v>0</v>
      </c>
      <c r="BK239" s="419">
        <f>(1+Sensitivity_FE_Order)*0</f>
        <v>0</v>
      </c>
      <c r="BL239" s="419">
        <f>(1+Sensitivity_FE_Order)*0</f>
        <v>0</v>
      </c>
      <c r="BM239" s="419">
        <f>(1+Sensitivity_FE_Order)*0</f>
        <v>0</v>
      </c>
      <c r="BN239" s="419">
        <f>(1+Sensitivity_FE_Order)*0</f>
        <v>0</v>
      </c>
      <c r="BO239" s="419">
        <f>(1+Sensitivity_FE_Order)*0</f>
        <v>0</v>
      </c>
      <c r="BP239" s="419">
        <f>(1+Sensitivity_FE_Order)*0</f>
        <v>0</v>
      </c>
      <c r="BQ239" s="419">
        <f>(1+Sensitivity_FE_Order)*0</f>
        <v>0</v>
      </c>
      <c r="BR239" s="419">
        <f>(1+Sensitivity_FE_Order)*0</f>
        <v>0</v>
      </c>
      <c r="BS239" s="263"/>
    </row>
    <row r="240" spans="1:71" ht="24" customHeight="1" outlineLevel="1" x14ac:dyDescent="0.2">
      <c r="A240" s="312"/>
      <c r="B240" s="437"/>
      <c r="C240" s="171"/>
      <c r="D240" s="528" t="s">
        <v>111</v>
      </c>
      <c r="E240" s="579" t="s">
        <v>112</v>
      </c>
      <c r="F240" s="470" t="s">
        <v>49</v>
      </c>
      <c r="G240" s="528" t="s">
        <v>47</v>
      </c>
      <c r="H240" s="609" t="s">
        <v>120</v>
      </c>
      <c r="I240" s="775"/>
      <c r="J240" s="605"/>
      <c r="K240" s="467"/>
      <c r="L240" s="467"/>
      <c r="M240" s="467"/>
      <c r="N240" s="264"/>
      <c r="O240" s="763"/>
      <c r="P240" s="264"/>
      <c r="Q240" s="264"/>
      <c r="R240" s="264"/>
      <c r="S240" s="374">
        <v>0.2</v>
      </c>
      <c r="T240" s="374">
        <v>0.2</v>
      </c>
      <c r="U240" s="374">
        <v>0.2</v>
      </c>
      <c r="V240" s="374">
        <v>0.2</v>
      </c>
      <c r="W240" s="374">
        <v>0.2</v>
      </c>
      <c r="X240" s="374">
        <v>0.2</v>
      </c>
      <c r="Y240" s="374">
        <v>0.2</v>
      </c>
      <c r="Z240" s="374">
        <v>0.2</v>
      </c>
      <c r="AA240" s="374">
        <v>0.2</v>
      </c>
      <c r="AB240" s="264"/>
      <c r="AC240" s="763"/>
      <c r="AD240" s="467"/>
      <c r="AE240" s="264"/>
      <c r="AF240" s="263"/>
      <c r="AG240" s="374">
        <v>0.2</v>
      </c>
      <c r="AH240" s="374">
        <v>0.2</v>
      </c>
      <c r="AI240" s="374">
        <v>0.2</v>
      </c>
      <c r="AJ240" s="374">
        <v>0.2</v>
      </c>
      <c r="AK240" s="374">
        <v>0.2</v>
      </c>
      <c r="AL240" s="374">
        <v>0.2</v>
      </c>
      <c r="AM240" s="374">
        <v>0.2</v>
      </c>
      <c r="AN240" s="374">
        <v>0.2</v>
      </c>
      <c r="AO240" s="374">
        <v>0.2</v>
      </c>
      <c r="AP240" s="264"/>
      <c r="AQ240" s="264"/>
      <c r="AR240" s="763"/>
      <c r="AS240" s="467"/>
      <c r="AT240" s="264"/>
      <c r="AU240" s="263"/>
      <c r="AV240" s="374">
        <v>0.2</v>
      </c>
      <c r="AW240" s="374">
        <v>0.2</v>
      </c>
      <c r="AX240" s="374">
        <v>0.2</v>
      </c>
      <c r="AY240" s="374">
        <v>0.2</v>
      </c>
      <c r="AZ240" s="374">
        <v>0.2</v>
      </c>
      <c r="BA240" s="374">
        <v>0.2</v>
      </c>
      <c r="BB240" s="374">
        <v>0.2</v>
      </c>
      <c r="BC240" s="374">
        <v>0.2</v>
      </c>
      <c r="BD240" s="374">
        <v>0.2</v>
      </c>
      <c r="BE240" s="264"/>
      <c r="BF240" s="763"/>
      <c r="BG240" s="467"/>
      <c r="BH240" s="264"/>
      <c r="BI240" s="263"/>
      <c r="BJ240" s="374">
        <v>0.2</v>
      </c>
      <c r="BK240" s="374">
        <v>0.2</v>
      </c>
      <c r="BL240" s="374">
        <v>0.2</v>
      </c>
      <c r="BM240" s="374">
        <v>0.2</v>
      </c>
      <c r="BN240" s="374">
        <v>0.2</v>
      </c>
      <c r="BO240" s="374">
        <v>0.2</v>
      </c>
      <c r="BP240" s="374">
        <v>0.2</v>
      </c>
      <c r="BQ240" s="374">
        <v>0.2</v>
      </c>
      <c r="BR240" s="374">
        <v>0.2</v>
      </c>
      <c r="BS240" s="263"/>
    </row>
    <row r="241" spans="1:71" s="135" customFormat="1" ht="24" customHeight="1" outlineLevel="1" x14ac:dyDescent="0.2">
      <c r="A241" s="315"/>
      <c r="B241" s="437"/>
      <c r="C241" s="171"/>
      <c r="D241" s="560"/>
      <c r="E241" s="265"/>
      <c r="F241" s="587"/>
      <c r="G241" s="587"/>
      <c r="H241" s="484" t="s">
        <v>204</v>
      </c>
      <c r="I241" s="467"/>
      <c r="J241" s="488"/>
      <c r="K241" s="467"/>
      <c r="L241" s="467"/>
      <c r="M241" s="467"/>
      <c r="N241" s="264"/>
      <c r="O241" s="467"/>
      <c r="P241" s="264"/>
      <c r="Q241" s="602">
        <f>SUMIF($H$214:$H$240,$H$214,Q$214:Q$240)</f>
        <v>1</v>
      </c>
      <c r="R241" s="602"/>
      <c r="S241" s="588">
        <f t="shared" ref="S241:AA241" si="223">SUMIF($H$214:$H$240,$H$214,S$214:S$240)</f>
        <v>165</v>
      </c>
      <c r="T241" s="588">
        <f t="shared" si="223"/>
        <v>165</v>
      </c>
      <c r="U241" s="588">
        <f t="shared" si="223"/>
        <v>165</v>
      </c>
      <c r="V241" s="588">
        <f t="shared" si="223"/>
        <v>165</v>
      </c>
      <c r="W241" s="588">
        <f t="shared" si="223"/>
        <v>0</v>
      </c>
      <c r="X241" s="588">
        <f t="shared" si="223"/>
        <v>74.25</v>
      </c>
      <c r="Y241" s="588">
        <f t="shared" si="223"/>
        <v>82.5</v>
      </c>
      <c r="Z241" s="588">
        <f t="shared" si="223"/>
        <v>0</v>
      </c>
      <c r="AA241" s="588">
        <f t="shared" si="223"/>
        <v>82.5</v>
      </c>
      <c r="AB241" s="264"/>
      <c r="AC241" s="467"/>
      <c r="AD241" s="467"/>
      <c r="AE241" s="602">
        <f>SUMIF($H$214:$H$240,$H$214,AE$214:AE$240)</f>
        <v>1</v>
      </c>
      <c r="AF241" s="602"/>
      <c r="AG241" s="588">
        <f t="shared" ref="AG241:AO241" si="224">SUMIF($H$214:$H$240,$H$214,AG$214:AG$240)</f>
        <v>165</v>
      </c>
      <c r="AH241" s="588">
        <f t="shared" si="224"/>
        <v>165</v>
      </c>
      <c r="AI241" s="588">
        <f t="shared" si="224"/>
        <v>165</v>
      </c>
      <c r="AJ241" s="588">
        <f t="shared" si="224"/>
        <v>165</v>
      </c>
      <c r="AK241" s="588">
        <f t="shared" si="224"/>
        <v>0</v>
      </c>
      <c r="AL241" s="588">
        <f t="shared" si="224"/>
        <v>0</v>
      </c>
      <c r="AM241" s="588">
        <f t="shared" si="224"/>
        <v>82.5</v>
      </c>
      <c r="AN241" s="588">
        <f t="shared" si="224"/>
        <v>0</v>
      </c>
      <c r="AO241" s="588">
        <f t="shared" si="224"/>
        <v>82.5</v>
      </c>
      <c r="AP241" s="264"/>
      <c r="AQ241" s="264"/>
      <c r="AR241" s="467"/>
      <c r="AS241" s="467"/>
      <c r="AT241" s="602">
        <f>SUMIF($H$214:$H$240,$H$214,AT$214:AT$240)</f>
        <v>1</v>
      </c>
      <c r="AU241" s="602"/>
      <c r="AV241" s="588">
        <f t="shared" ref="AV241:BD241" si="225">SUMIF($H$214:$H$240,$H$214,AV$214:AV$240)</f>
        <v>165</v>
      </c>
      <c r="AW241" s="588">
        <f t="shared" si="225"/>
        <v>165</v>
      </c>
      <c r="AX241" s="588">
        <f t="shared" si="225"/>
        <v>165</v>
      </c>
      <c r="AY241" s="588">
        <f t="shared" si="225"/>
        <v>165</v>
      </c>
      <c r="AZ241" s="588">
        <f t="shared" si="225"/>
        <v>0</v>
      </c>
      <c r="BA241" s="588">
        <f t="shared" si="225"/>
        <v>74.25</v>
      </c>
      <c r="BB241" s="588">
        <f t="shared" si="225"/>
        <v>82.5</v>
      </c>
      <c r="BC241" s="588">
        <f t="shared" si="225"/>
        <v>0</v>
      </c>
      <c r="BD241" s="588">
        <f t="shared" si="225"/>
        <v>82.5</v>
      </c>
      <c r="BE241" s="264"/>
      <c r="BF241" s="467"/>
      <c r="BG241" s="467"/>
      <c r="BH241" s="602">
        <f>SUMIF($H$214:$H$240,$H$214,BH$214:BH$240)</f>
        <v>1</v>
      </c>
      <c r="BI241" s="602"/>
      <c r="BJ241" s="588">
        <f t="shared" ref="BJ241:BR241" si="226">SUMIF($H$214:$H$240,$H$214,BJ$214:BJ$240)</f>
        <v>165</v>
      </c>
      <c r="BK241" s="588">
        <f t="shared" si="226"/>
        <v>165</v>
      </c>
      <c r="BL241" s="588">
        <f t="shared" si="226"/>
        <v>165</v>
      </c>
      <c r="BM241" s="588">
        <f t="shared" si="226"/>
        <v>165</v>
      </c>
      <c r="BN241" s="588">
        <f t="shared" si="226"/>
        <v>0</v>
      </c>
      <c r="BO241" s="588">
        <f t="shared" si="226"/>
        <v>0</v>
      </c>
      <c r="BP241" s="588">
        <f t="shared" si="226"/>
        <v>82.5</v>
      </c>
      <c r="BQ241" s="588">
        <f t="shared" si="226"/>
        <v>0</v>
      </c>
      <c r="BR241" s="588">
        <f t="shared" si="226"/>
        <v>82.5</v>
      </c>
      <c r="BS241" s="264"/>
    </row>
    <row r="242" spans="1:71" s="268" customFormat="1" ht="24" customHeight="1" outlineLevel="1" x14ac:dyDescent="0.2">
      <c r="A242" s="315"/>
      <c r="B242" s="437"/>
      <c r="C242" s="171"/>
      <c r="D242" s="560"/>
      <c r="E242" s="265"/>
      <c r="F242" s="587"/>
      <c r="G242" s="587"/>
      <c r="H242" s="484" t="s">
        <v>434</v>
      </c>
      <c r="I242" s="467"/>
      <c r="J242" s="488"/>
      <c r="K242" s="467"/>
      <c r="L242" s="467"/>
      <c r="M242" s="467"/>
      <c r="N242" s="264"/>
      <c r="O242" s="467"/>
      <c r="P242" s="264"/>
      <c r="Q242" s="602">
        <f>SUMIF($H$214:$H$240,$H$215,Q$214:Q$240)</f>
        <v>0</v>
      </c>
      <c r="R242" s="602"/>
      <c r="S242" s="588">
        <f t="shared" ref="S242:AA242" si="227">SUMIF($H$214:$H$240,$H$215,S$214:S$240)</f>
        <v>0</v>
      </c>
      <c r="T242" s="588">
        <f t="shared" si="227"/>
        <v>0</v>
      </c>
      <c r="U242" s="588">
        <f t="shared" si="227"/>
        <v>0</v>
      </c>
      <c r="V242" s="588">
        <f t="shared" si="227"/>
        <v>0</v>
      </c>
      <c r="W242" s="588">
        <f t="shared" si="227"/>
        <v>0</v>
      </c>
      <c r="X242" s="588">
        <f t="shared" si="227"/>
        <v>0</v>
      </c>
      <c r="Y242" s="588">
        <f t="shared" si="227"/>
        <v>0</v>
      </c>
      <c r="Z242" s="588">
        <f t="shared" si="227"/>
        <v>0</v>
      </c>
      <c r="AA242" s="588">
        <f t="shared" si="227"/>
        <v>0</v>
      </c>
      <c r="AB242" s="264"/>
      <c r="AC242" s="467"/>
      <c r="AD242" s="467"/>
      <c r="AE242" s="602">
        <f>SUMIF($H$214:$H$240,$H$215,AE$214:AE$240)</f>
        <v>0</v>
      </c>
      <c r="AF242" s="602"/>
      <c r="AG242" s="588">
        <f t="shared" ref="AG242:AO242" si="228">SUMIF($H$214:$H$240,$H$215,AG$214:AG$240)</f>
        <v>0</v>
      </c>
      <c r="AH242" s="588">
        <f t="shared" si="228"/>
        <v>0</v>
      </c>
      <c r="AI242" s="588">
        <f t="shared" si="228"/>
        <v>0</v>
      </c>
      <c r="AJ242" s="588">
        <f t="shared" si="228"/>
        <v>0</v>
      </c>
      <c r="AK242" s="588">
        <f t="shared" si="228"/>
        <v>0</v>
      </c>
      <c r="AL242" s="588">
        <f t="shared" si="228"/>
        <v>0</v>
      </c>
      <c r="AM242" s="588">
        <f t="shared" si="228"/>
        <v>0</v>
      </c>
      <c r="AN242" s="588">
        <f t="shared" si="228"/>
        <v>0</v>
      </c>
      <c r="AO242" s="588">
        <f t="shared" si="228"/>
        <v>0</v>
      </c>
      <c r="AP242" s="264"/>
      <c r="AQ242" s="264"/>
      <c r="AR242" s="467"/>
      <c r="AS242" s="467"/>
      <c r="AT242" s="602">
        <f>SUMIF($H$214:$H$240,$H$215,AT$214:AT$240)</f>
        <v>0</v>
      </c>
      <c r="AU242" s="602"/>
      <c r="AV242" s="588">
        <f t="shared" ref="AV242:BD242" si="229">SUMIF($H$214:$H$240,$H$215,AV$214:AV$240)</f>
        <v>0</v>
      </c>
      <c r="AW242" s="588">
        <f t="shared" si="229"/>
        <v>0</v>
      </c>
      <c r="AX242" s="588">
        <f t="shared" si="229"/>
        <v>0</v>
      </c>
      <c r="AY242" s="588">
        <f t="shared" si="229"/>
        <v>0</v>
      </c>
      <c r="AZ242" s="588">
        <f t="shared" si="229"/>
        <v>0</v>
      </c>
      <c r="BA242" s="588">
        <f t="shared" si="229"/>
        <v>0</v>
      </c>
      <c r="BB242" s="588">
        <f t="shared" si="229"/>
        <v>0</v>
      </c>
      <c r="BC242" s="588">
        <f t="shared" si="229"/>
        <v>0</v>
      </c>
      <c r="BD242" s="588">
        <f t="shared" si="229"/>
        <v>0</v>
      </c>
      <c r="BE242" s="264"/>
      <c r="BF242" s="467"/>
      <c r="BG242" s="467"/>
      <c r="BH242" s="602">
        <f>SUMIF($H$214:$H$240,$H$215,BH$214:BH$240)</f>
        <v>0</v>
      </c>
      <c r="BI242" s="602"/>
      <c r="BJ242" s="588">
        <f t="shared" ref="BJ242:BR242" si="230">SUMIF($H$214:$H$240,$H$215,BJ$214:BJ$240)</f>
        <v>0</v>
      </c>
      <c r="BK242" s="588">
        <f t="shared" si="230"/>
        <v>0</v>
      </c>
      <c r="BL242" s="588">
        <f t="shared" si="230"/>
        <v>0</v>
      </c>
      <c r="BM242" s="588">
        <f t="shared" si="230"/>
        <v>0</v>
      </c>
      <c r="BN242" s="588">
        <f t="shared" si="230"/>
        <v>0</v>
      </c>
      <c r="BO242" s="588">
        <f t="shared" si="230"/>
        <v>0</v>
      </c>
      <c r="BP242" s="588">
        <f t="shared" si="230"/>
        <v>0</v>
      </c>
      <c r="BQ242" s="588">
        <f t="shared" si="230"/>
        <v>0</v>
      </c>
      <c r="BR242" s="588">
        <f t="shared" si="230"/>
        <v>0</v>
      </c>
      <c r="BS242" s="264"/>
    </row>
    <row r="243" spans="1:71" s="135" customFormat="1" ht="24" customHeight="1" x14ac:dyDescent="0.2">
      <c r="A243" s="315"/>
      <c r="B243" s="437"/>
      <c r="C243" s="171"/>
      <c r="D243" s="560"/>
      <c r="E243" s="265"/>
      <c r="F243" s="587"/>
      <c r="G243" s="587"/>
      <c r="H243" s="488"/>
      <c r="I243" s="467"/>
      <c r="J243" s="488"/>
      <c r="K243" s="467"/>
      <c r="L243" s="467"/>
      <c r="M243" s="467"/>
      <c r="N243" s="264"/>
      <c r="O243" s="467"/>
      <c r="P243" s="264"/>
      <c r="Q243" s="264"/>
      <c r="R243" s="264"/>
      <c r="S243" s="264"/>
      <c r="T243" s="590"/>
      <c r="U243" s="590"/>
      <c r="V243" s="590"/>
      <c r="W243" s="590"/>
      <c r="X243" s="590"/>
      <c r="Y243" s="590"/>
      <c r="Z243" s="590"/>
      <c r="AA243" s="590"/>
      <c r="AB243" s="264"/>
      <c r="AC243" s="467"/>
      <c r="AD243" s="467"/>
      <c r="AE243" s="264"/>
      <c r="AF243" s="264"/>
      <c r="AG243" s="590"/>
      <c r="AH243" s="590"/>
      <c r="AI243" s="590"/>
      <c r="AJ243" s="590"/>
      <c r="AK243" s="590"/>
      <c r="AL243" s="590"/>
      <c r="AM243" s="590"/>
      <c r="AN243" s="590"/>
      <c r="AO243" s="590"/>
      <c r="AP243" s="264"/>
      <c r="AQ243" s="264"/>
      <c r="AR243" s="467"/>
      <c r="AS243" s="488"/>
      <c r="AT243" s="264"/>
      <c r="AU243" s="488"/>
      <c r="AV243" s="391"/>
      <c r="AW243" s="391"/>
      <c r="AX243" s="391"/>
      <c r="AY243" s="391"/>
      <c r="AZ243" s="391"/>
      <c r="BA243" s="391"/>
      <c r="BB243" s="391"/>
      <c r="BC243" s="391"/>
      <c r="BD243" s="391"/>
      <c r="BE243" s="264"/>
      <c r="BF243" s="467"/>
      <c r="BG243" s="488"/>
      <c r="BH243" s="264"/>
      <c r="BI243" s="488"/>
      <c r="BJ243" s="391"/>
      <c r="BK243" s="391"/>
      <c r="BL243" s="391"/>
      <c r="BM243" s="391"/>
      <c r="BN243" s="391"/>
      <c r="BO243" s="391"/>
      <c r="BP243" s="391"/>
      <c r="BQ243" s="391"/>
      <c r="BR243" s="391"/>
      <c r="BS243" s="264"/>
    </row>
    <row r="244" spans="1:71" ht="89.25" x14ac:dyDescent="0.2">
      <c r="A244" s="312"/>
      <c r="B244" s="396"/>
      <c r="C244" s="397" t="s">
        <v>108</v>
      </c>
      <c r="D244" s="397" t="s">
        <v>186</v>
      </c>
      <c r="E244" s="397"/>
      <c r="F244" s="397"/>
      <c r="G244" s="397"/>
      <c r="H244" s="540" t="s">
        <v>512</v>
      </c>
      <c r="I244" s="540"/>
      <c r="J244" s="398"/>
      <c r="K244" s="541"/>
      <c r="L244" s="541"/>
      <c r="M244" s="541"/>
      <c r="N244" s="398"/>
      <c r="O244" s="541"/>
      <c r="P244" s="398"/>
      <c r="Q244" s="398"/>
      <c r="R244" s="398"/>
      <c r="S244" s="543"/>
      <c r="T244" s="543"/>
      <c r="U244" s="543"/>
      <c r="V244" s="543"/>
      <c r="W244" s="543"/>
      <c r="X244" s="543"/>
      <c r="Y244" s="543"/>
      <c r="Z244" s="543"/>
      <c r="AA244" s="543"/>
      <c r="AB244" s="264"/>
      <c r="AC244" s="541"/>
      <c r="AD244" s="603"/>
      <c r="AE244" s="398"/>
      <c r="AF244" s="396"/>
      <c r="AG244" s="543"/>
      <c r="AH244" s="543"/>
      <c r="AI244" s="543"/>
      <c r="AJ244" s="543"/>
      <c r="AK244" s="543"/>
      <c r="AL244" s="543"/>
      <c r="AM244" s="543"/>
      <c r="AN244" s="543"/>
      <c r="AO244" s="543"/>
      <c r="AP244" s="264"/>
      <c r="AQ244" s="264"/>
      <c r="AR244" s="539" t="s">
        <v>513</v>
      </c>
      <c r="AS244" s="603"/>
      <c r="AT244" s="398"/>
      <c r="AU244" s="396"/>
      <c r="AV244" s="396"/>
      <c r="AW244" s="396"/>
      <c r="AX244" s="396"/>
      <c r="AY244" s="396"/>
      <c r="AZ244" s="396"/>
      <c r="BA244" s="396"/>
      <c r="BB244" s="396"/>
      <c r="BC244" s="396"/>
      <c r="BD244" s="396"/>
      <c r="BE244" s="264"/>
      <c r="BF244" s="539" t="s">
        <v>513</v>
      </c>
      <c r="BG244" s="603"/>
      <c r="BH244" s="398"/>
      <c r="BI244" s="396"/>
      <c r="BJ244" s="396"/>
      <c r="BK244" s="396"/>
      <c r="BL244" s="396"/>
      <c r="BM244" s="396"/>
      <c r="BN244" s="396"/>
      <c r="BO244" s="396"/>
      <c r="BP244" s="396"/>
      <c r="BQ244" s="396"/>
      <c r="BR244" s="396"/>
      <c r="BS244" s="263"/>
    </row>
    <row r="245" spans="1:71" ht="12.75" outlineLevel="1" x14ac:dyDescent="0.2">
      <c r="A245" s="312"/>
      <c r="B245" s="263"/>
      <c r="C245" s="263"/>
      <c r="D245" s="263"/>
      <c r="E245" s="263"/>
      <c r="F245" s="263"/>
      <c r="G245" s="506"/>
      <c r="H245" s="263"/>
      <c r="I245" s="345"/>
      <c r="J245" s="264"/>
      <c r="K245" s="345"/>
      <c r="L245" s="345"/>
      <c r="M245" s="345"/>
      <c r="N245" s="264"/>
      <c r="O245" s="345"/>
      <c r="P245" s="264"/>
      <c r="Q245" s="264"/>
      <c r="R245" s="264"/>
      <c r="S245" s="591"/>
      <c r="T245" s="591"/>
      <c r="U245" s="591"/>
      <c r="V245" s="591"/>
      <c r="W245" s="591"/>
      <c r="X245" s="591"/>
      <c r="Y245" s="591"/>
      <c r="Z245" s="591"/>
      <c r="AA245" s="591"/>
      <c r="AB245" s="264"/>
      <c r="AC245" s="345"/>
      <c r="AD245" s="508"/>
      <c r="AE245" s="264"/>
      <c r="AF245" s="263"/>
      <c r="AG245" s="591"/>
      <c r="AH245" s="591"/>
      <c r="AI245" s="591"/>
      <c r="AJ245" s="591"/>
      <c r="AK245" s="591"/>
      <c r="AL245" s="591"/>
      <c r="AM245" s="591"/>
      <c r="AN245" s="591"/>
      <c r="AO245" s="591"/>
      <c r="AP245" s="264"/>
      <c r="AQ245" s="264"/>
      <c r="AR245" s="345"/>
      <c r="AS245" s="508"/>
      <c r="AT245" s="264"/>
      <c r="AU245" s="263"/>
      <c r="AV245" s="263"/>
      <c r="AW245" s="263"/>
      <c r="AX245" s="263"/>
      <c r="AY245" s="263"/>
      <c r="AZ245" s="263"/>
      <c r="BA245" s="263"/>
      <c r="BB245" s="263"/>
      <c r="BC245" s="263"/>
      <c r="BD245" s="263"/>
      <c r="BE245" s="264"/>
      <c r="BF245" s="345"/>
      <c r="BG245" s="508"/>
      <c r="BH245" s="264"/>
      <c r="BI245" s="263"/>
      <c r="BJ245" s="263"/>
      <c r="BK245" s="263"/>
      <c r="BL245" s="263"/>
      <c r="BM245" s="263"/>
      <c r="BN245" s="263"/>
      <c r="BO245" s="263"/>
      <c r="BP245" s="263"/>
      <c r="BQ245" s="263"/>
      <c r="BR245" s="263"/>
      <c r="BS245" s="263"/>
    </row>
    <row r="246" spans="1:71" ht="24" customHeight="1" outlineLevel="1" x14ac:dyDescent="0.2">
      <c r="A246" s="400"/>
      <c r="B246" s="546" t="s">
        <v>108</v>
      </c>
      <c r="C246" s="547" t="s">
        <v>160</v>
      </c>
      <c r="D246" s="470" t="s">
        <v>109</v>
      </c>
      <c r="E246" s="413" t="s">
        <v>175</v>
      </c>
      <c r="F246" s="457" t="s">
        <v>51</v>
      </c>
      <c r="G246" s="456" t="s">
        <v>50</v>
      </c>
      <c r="H246" s="592" t="s">
        <v>214</v>
      </c>
      <c r="I246" s="744" t="s">
        <v>237</v>
      </c>
      <c r="J246" s="411"/>
      <c r="K246" s="440"/>
      <c r="L246" s="440"/>
      <c r="M246" s="440"/>
      <c r="N246" s="93"/>
      <c r="O246" s="470" t="s">
        <v>221</v>
      </c>
      <c r="P246" s="93"/>
      <c r="Q246" s="374">
        <v>0.25</v>
      </c>
      <c r="R246" s="93"/>
      <c r="S246" s="419">
        <f>(1+Sensitivity_GP_FE_Comms)*(Standard_Process_Effort*(1+PM_Overhead)*$Q246)</f>
        <v>8.25</v>
      </c>
      <c r="T246" s="419">
        <f>(1+Sensitivity_GP_FE_Comms)*(Standard_Process_Effort*(1+PM_Overhead)*$Q246)</f>
        <v>8.25</v>
      </c>
      <c r="U246" s="419">
        <f>(1+Sensitivity_GP_FE_Comms)*(Standard_Process_Effort*(1+PM_Overhead)*$Q246)</f>
        <v>8.25</v>
      </c>
      <c r="V246" s="419">
        <f>(1+Sensitivity_GP_FE_Comms)*(Standard_Process_Effort*(1+PM_Overhead)*$Q246)</f>
        <v>8.25</v>
      </c>
      <c r="W246" s="419">
        <f>(1+Sensitivity_GP_FE_Comms)*0</f>
        <v>0</v>
      </c>
      <c r="X246" s="419">
        <f>(1+Sensitivity_GP_FE_Comms)*0</f>
        <v>0</v>
      </c>
      <c r="Y246" s="419">
        <f>(1+Sensitivity_GP_FE_Comms)*(Standard_Process_Effort*(1+PM_Overhead)*$Q246)*TierC_TierB_ratio</f>
        <v>4.125</v>
      </c>
      <c r="Z246" s="419">
        <f>(1+Sensitivity_GP_FE_Comms)*0</f>
        <v>0</v>
      </c>
      <c r="AA246" s="419">
        <f>Y246</f>
        <v>4.125</v>
      </c>
      <c r="AB246" s="93"/>
      <c r="AC246" s="470" t="s">
        <v>221</v>
      </c>
      <c r="AD246" s="440"/>
      <c r="AE246" s="374">
        <v>0.25</v>
      </c>
      <c r="AF246" s="158"/>
      <c r="AG246" s="419">
        <f>(1+Sensitivity_GP_FE_Comms)*(Standard_Process_Effort*(1+PM_Overhead)*$AE246)</f>
        <v>8.25</v>
      </c>
      <c r="AH246" s="419">
        <f>(1+Sensitivity_GP_FE_Comms)*(Standard_Process_Effort*(1+PM_Overhead)*$AE246)</f>
        <v>8.25</v>
      </c>
      <c r="AI246" s="419">
        <f>(1+Sensitivity_GP_FE_Comms)*(Standard_Process_Effort*(1+PM_Overhead)*$AE246)</f>
        <v>8.25</v>
      </c>
      <c r="AJ246" s="419">
        <f>(1+Sensitivity_GP_FE_Comms)*(Standard_Process_Effort*(1+PM_Overhead)*$AE246)</f>
        <v>8.25</v>
      </c>
      <c r="AK246" s="419">
        <f>(1+Sensitivity_GP_FE_Comms)*0</f>
        <v>0</v>
      </c>
      <c r="AL246" s="419">
        <f>(1+Sensitivity_GP_FE_Comms)*0</f>
        <v>0</v>
      </c>
      <c r="AM246" s="419">
        <f>(1+Sensitivity_GP_FE_Comms)*(Standard_Process_Effort*(1+PM_Overhead)*$AE246)*TierC_TierB_ratio</f>
        <v>4.125</v>
      </c>
      <c r="AN246" s="419">
        <f>(1+Sensitivity_GP_FE_Comms)*0</f>
        <v>0</v>
      </c>
      <c r="AO246" s="419">
        <f>AM246</f>
        <v>4.125</v>
      </c>
      <c r="AP246" s="264"/>
      <c r="AQ246" s="264"/>
      <c r="AR246" s="470" t="s">
        <v>221</v>
      </c>
      <c r="AS246" s="440"/>
      <c r="AT246" s="374">
        <v>0.25</v>
      </c>
      <c r="AU246" s="158"/>
      <c r="AV246" s="419">
        <f>(1+Sensitivity_GP_FE_Comms)*(Standard_Process_Effort*(1+PM_Overhead)*$AT246)</f>
        <v>8.25</v>
      </c>
      <c r="AW246" s="419">
        <f>(1+Sensitivity_GP_FE_Comms)*(Standard_Process_Effort*(1+PM_Overhead)*$AT246)</f>
        <v>8.25</v>
      </c>
      <c r="AX246" s="419">
        <f>(1+Sensitivity_GP_FE_Comms)*(Standard_Process_Effort*(1+PM_Overhead)*$AT246)</f>
        <v>8.25</v>
      </c>
      <c r="AY246" s="419">
        <f>(1+Sensitivity_GP_FE_Comms)*(Standard_Process_Effort*(1+PM_Overhead)*$AT246)</f>
        <v>8.25</v>
      </c>
      <c r="AZ246" s="419">
        <f>(1+Sensitivity_GP_FE_Comms)*0</f>
        <v>0</v>
      </c>
      <c r="BA246" s="419">
        <f>(1+Sensitivity_GP_FE_Comms)*0</f>
        <v>0</v>
      </c>
      <c r="BB246" s="419">
        <f>(1+Sensitivity_GP_FE_Comms)*(Standard_Process_Effort*(1+PM_Overhead)*$AT246)*TierC_TierB_ratio</f>
        <v>4.125</v>
      </c>
      <c r="BC246" s="419">
        <f>(1+Sensitivity_GP_FE_Comms)*0</f>
        <v>0</v>
      </c>
      <c r="BD246" s="419">
        <f>BB246</f>
        <v>4.125</v>
      </c>
      <c r="BE246" s="264"/>
      <c r="BF246" s="470" t="s">
        <v>221</v>
      </c>
      <c r="BG246" s="440"/>
      <c r="BH246" s="374">
        <v>0.25</v>
      </c>
      <c r="BI246" s="158"/>
      <c r="BJ246" s="419">
        <f>(1+Sensitivity_GP_FE_Comms)*(Standard_Process_Effort*(1+PM_Overhead)*$BH246)</f>
        <v>8.25</v>
      </c>
      <c r="BK246" s="419">
        <f>(1+Sensitivity_GP_FE_Comms)*(Standard_Process_Effort*(1+PM_Overhead)*$BH246)</f>
        <v>8.25</v>
      </c>
      <c r="BL246" s="419">
        <f>(1+Sensitivity_GP_FE_Comms)*(Standard_Process_Effort*(1+PM_Overhead)*$BH246)</f>
        <v>8.25</v>
      </c>
      <c r="BM246" s="419">
        <f>(1+Sensitivity_GP_FE_Comms)*(Standard_Process_Effort*(1+PM_Overhead)*$BH246)</f>
        <v>8.25</v>
      </c>
      <c r="BN246" s="419">
        <f>(1+Sensitivity_GP_FE_Comms)*0</f>
        <v>0</v>
      </c>
      <c r="BO246" s="419">
        <f>(1+Sensitivity_GP_FE_Comms)*0</f>
        <v>0</v>
      </c>
      <c r="BP246" s="419">
        <f>(1+Sensitivity_GP_FE_Comms)*(Standard_Process_Effort*(1+PM_Overhead)*$BH246)*TierC_TierB_ratio</f>
        <v>4.125</v>
      </c>
      <c r="BQ246" s="419">
        <f>(1+Sensitivity_GP_FE_Comms)*0</f>
        <v>0</v>
      </c>
      <c r="BR246" s="419">
        <f>BP246</f>
        <v>4.125</v>
      </c>
      <c r="BS246" s="263"/>
    </row>
    <row r="247" spans="1:71" ht="24" customHeight="1" outlineLevel="1" x14ac:dyDescent="0.2">
      <c r="A247" s="400"/>
      <c r="B247" s="546" t="s">
        <v>108</v>
      </c>
      <c r="C247" s="547" t="s">
        <v>160</v>
      </c>
      <c r="D247" s="470" t="s">
        <v>109</v>
      </c>
      <c r="E247" s="413" t="s">
        <v>175</v>
      </c>
      <c r="F247" s="457" t="s">
        <v>49</v>
      </c>
      <c r="G247" s="456" t="s">
        <v>47</v>
      </c>
      <c r="H247" s="592" t="s">
        <v>118</v>
      </c>
      <c r="I247" s="745"/>
      <c r="J247" s="411"/>
      <c r="K247" s="440"/>
      <c r="L247" s="440"/>
      <c r="M247" s="440"/>
      <c r="N247" s="93"/>
      <c r="O247" s="470"/>
      <c r="P247" s="93"/>
      <c r="Q247" s="264"/>
      <c r="R247" s="93"/>
      <c r="S247" s="374">
        <v>0.2</v>
      </c>
      <c r="T247" s="374">
        <v>0.2</v>
      </c>
      <c r="U247" s="374">
        <v>0.2</v>
      </c>
      <c r="V247" s="374">
        <v>0.2</v>
      </c>
      <c r="W247" s="374">
        <v>0.2</v>
      </c>
      <c r="X247" s="374">
        <v>0.2</v>
      </c>
      <c r="Y247" s="374">
        <v>0.2</v>
      </c>
      <c r="Z247" s="374">
        <v>0.2</v>
      </c>
      <c r="AA247" s="374">
        <v>0.2</v>
      </c>
      <c r="AB247" s="93"/>
      <c r="AC247" s="470"/>
      <c r="AD247" s="440"/>
      <c r="AE247" s="93"/>
      <c r="AF247" s="158"/>
      <c r="AG247" s="374">
        <v>0.2</v>
      </c>
      <c r="AH247" s="374">
        <v>0.2</v>
      </c>
      <c r="AI247" s="374">
        <v>0.2</v>
      </c>
      <c r="AJ247" s="374">
        <v>0.2</v>
      </c>
      <c r="AK247" s="374">
        <v>0.2</v>
      </c>
      <c r="AL247" s="374">
        <v>0.2</v>
      </c>
      <c r="AM247" s="374">
        <v>0.2</v>
      </c>
      <c r="AN247" s="374">
        <v>0.2</v>
      </c>
      <c r="AO247" s="374">
        <v>0.2</v>
      </c>
      <c r="AP247" s="264"/>
      <c r="AQ247" s="264"/>
      <c r="AR247" s="470"/>
      <c r="AS247" s="440"/>
      <c r="AT247" s="93"/>
      <c r="AU247" s="158"/>
      <c r="AV247" s="374">
        <v>0.2</v>
      </c>
      <c r="AW247" s="374">
        <v>0.2</v>
      </c>
      <c r="AX247" s="374">
        <v>0.2</v>
      </c>
      <c r="AY247" s="374">
        <v>0.2</v>
      </c>
      <c r="AZ247" s="374">
        <v>0.2</v>
      </c>
      <c r="BA247" s="374">
        <v>0.2</v>
      </c>
      <c r="BB247" s="374">
        <v>0.2</v>
      </c>
      <c r="BC247" s="374">
        <v>0.2</v>
      </c>
      <c r="BD247" s="374">
        <v>0.2</v>
      </c>
      <c r="BE247" s="264"/>
      <c r="BF247" s="470"/>
      <c r="BG247" s="440"/>
      <c r="BH247" s="93"/>
      <c r="BI247" s="158"/>
      <c r="BJ247" s="374">
        <v>0.2</v>
      </c>
      <c r="BK247" s="374">
        <v>0.2</v>
      </c>
      <c r="BL247" s="374">
        <v>0.2</v>
      </c>
      <c r="BM247" s="374">
        <v>0.2</v>
      </c>
      <c r="BN247" s="374">
        <v>0.2</v>
      </c>
      <c r="BO247" s="374">
        <v>0.2</v>
      </c>
      <c r="BP247" s="374">
        <v>0.2</v>
      </c>
      <c r="BQ247" s="374">
        <v>0.2</v>
      </c>
      <c r="BR247" s="374">
        <v>0.2</v>
      </c>
      <c r="BS247" s="263"/>
    </row>
    <row r="248" spans="1:71" ht="24" customHeight="1" outlineLevel="1" x14ac:dyDescent="0.2">
      <c r="A248" s="400"/>
      <c r="B248" s="546" t="s">
        <v>108</v>
      </c>
      <c r="C248" s="547" t="s">
        <v>160</v>
      </c>
      <c r="D248" s="470" t="s">
        <v>109</v>
      </c>
      <c r="E248" s="413" t="s">
        <v>175</v>
      </c>
      <c r="F248" s="457" t="s">
        <v>51</v>
      </c>
      <c r="G248" s="456" t="s">
        <v>50</v>
      </c>
      <c r="H248" s="592" t="s">
        <v>117</v>
      </c>
      <c r="I248" s="745"/>
      <c r="J248" s="407"/>
      <c r="K248" s="440"/>
      <c r="L248" s="440"/>
      <c r="M248" s="440"/>
      <c r="N248" s="93"/>
      <c r="O248" s="597" t="s">
        <v>250</v>
      </c>
      <c r="P248" s="93"/>
      <c r="Q248" s="374">
        <v>0</v>
      </c>
      <c r="R248" s="93"/>
      <c r="S248" s="419">
        <f t="shared" ref="S248:AA248" si="231">(1+Sensitivity_GP_FE_Comms)*0</f>
        <v>0</v>
      </c>
      <c r="T248" s="419">
        <f t="shared" si="231"/>
        <v>0</v>
      </c>
      <c r="U248" s="419">
        <f t="shared" si="231"/>
        <v>0</v>
      </c>
      <c r="V248" s="419">
        <f t="shared" si="231"/>
        <v>0</v>
      </c>
      <c r="W248" s="419">
        <f t="shared" si="231"/>
        <v>0</v>
      </c>
      <c r="X248" s="419">
        <f t="shared" si="231"/>
        <v>0</v>
      </c>
      <c r="Y248" s="419">
        <f t="shared" si="231"/>
        <v>0</v>
      </c>
      <c r="Z248" s="419">
        <f t="shared" si="231"/>
        <v>0</v>
      </c>
      <c r="AA248" s="419">
        <f t="shared" si="231"/>
        <v>0</v>
      </c>
      <c r="AB248" s="93"/>
      <c r="AC248" s="597" t="s">
        <v>250</v>
      </c>
      <c r="AD248" s="440"/>
      <c r="AE248" s="374">
        <v>0</v>
      </c>
      <c r="AF248" s="158"/>
      <c r="AG248" s="419">
        <f t="shared" ref="AG248:AO248" si="232">(1+Sensitivity_GP_FE_Comms)*0</f>
        <v>0</v>
      </c>
      <c r="AH248" s="419">
        <f t="shared" si="232"/>
        <v>0</v>
      </c>
      <c r="AI248" s="419">
        <f t="shared" si="232"/>
        <v>0</v>
      </c>
      <c r="AJ248" s="419">
        <f t="shared" si="232"/>
        <v>0</v>
      </c>
      <c r="AK248" s="419">
        <f t="shared" si="232"/>
        <v>0</v>
      </c>
      <c r="AL248" s="419">
        <f t="shared" si="232"/>
        <v>0</v>
      </c>
      <c r="AM248" s="419">
        <f t="shared" si="232"/>
        <v>0</v>
      </c>
      <c r="AN248" s="419">
        <f t="shared" si="232"/>
        <v>0</v>
      </c>
      <c r="AO248" s="419">
        <f t="shared" si="232"/>
        <v>0</v>
      </c>
      <c r="AP248" s="264"/>
      <c r="AQ248" s="264"/>
      <c r="AR248" s="597" t="s">
        <v>250</v>
      </c>
      <c r="AS248" s="440"/>
      <c r="AT248" s="374">
        <v>0</v>
      </c>
      <c r="AU248" s="158"/>
      <c r="AV248" s="419">
        <f t="shared" ref="AV248:BD248" si="233">(1+Sensitivity_GP_FE_Comms)*0</f>
        <v>0</v>
      </c>
      <c r="AW248" s="419">
        <f t="shared" si="233"/>
        <v>0</v>
      </c>
      <c r="AX248" s="419">
        <f t="shared" si="233"/>
        <v>0</v>
      </c>
      <c r="AY248" s="419">
        <f t="shared" si="233"/>
        <v>0</v>
      </c>
      <c r="AZ248" s="419">
        <f t="shared" si="233"/>
        <v>0</v>
      </c>
      <c r="BA248" s="419">
        <f t="shared" si="233"/>
        <v>0</v>
      </c>
      <c r="BB248" s="419">
        <f t="shared" si="233"/>
        <v>0</v>
      </c>
      <c r="BC248" s="419">
        <f t="shared" si="233"/>
        <v>0</v>
      </c>
      <c r="BD248" s="419">
        <f t="shared" si="233"/>
        <v>0</v>
      </c>
      <c r="BE248" s="264"/>
      <c r="BF248" s="597" t="s">
        <v>250</v>
      </c>
      <c r="BG248" s="440"/>
      <c r="BH248" s="374">
        <v>0</v>
      </c>
      <c r="BI248" s="158"/>
      <c r="BJ248" s="419">
        <f t="shared" ref="BJ248:BR248" si="234">(1+Sensitivity_GP_FE_Comms)*0</f>
        <v>0</v>
      </c>
      <c r="BK248" s="419">
        <f t="shared" si="234"/>
        <v>0</v>
      </c>
      <c r="BL248" s="419">
        <f t="shared" si="234"/>
        <v>0</v>
      </c>
      <c r="BM248" s="419">
        <f t="shared" si="234"/>
        <v>0</v>
      </c>
      <c r="BN248" s="419">
        <f t="shared" si="234"/>
        <v>0</v>
      </c>
      <c r="BO248" s="419">
        <f t="shared" si="234"/>
        <v>0</v>
      </c>
      <c r="BP248" s="419">
        <f t="shared" si="234"/>
        <v>0</v>
      </c>
      <c r="BQ248" s="419">
        <f t="shared" si="234"/>
        <v>0</v>
      </c>
      <c r="BR248" s="419">
        <f t="shared" si="234"/>
        <v>0</v>
      </c>
      <c r="BS248" s="263"/>
    </row>
    <row r="249" spans="1:71" ht="24" customHeight="1" outlineLevel="1" x14ac:dyDescent="0.2">
      <c r="A249" s="400"/>
      <c r="B249" s="546" t="s">
        <v>108</v>
      </c>
      <c r="C249" s="547" t="s">
        <v>160</v>
      </c>
      <c r="D249" s="470" t="s">
        <v>109</v>
      </c>
      <c r="E249" s="413" t="s">
        <v>175</v>
      </c>
      <c r="F249" s="457" t="s">
        <v>48</v>
      </c>
      <c r="G249" s="456" t="s">
        <v>50</v>
      </c>
      <c r="H249" s="592" t="s">
        <v>116</v>
      </c>
      <c r="I249" s="746"/>
      <c r="J249" s="417"/>
      <c r="K249" s="440"/>
      <c r="L249" s="440"/>
      <c r="M249" s="440"/>
      <c r="N249" s="93"/>
      <c r="O249" s="470" t="s">
        <v>218</v>
      </c>
      <c r="P249" s="93"/>
      <c r="Q249" s="93"/>
      <c r="R249" s="93"/>
      <c r="S249" s="419">
        <v>0</v>
      </c>
      <c r="T249" s="419">
        <v>0</v>
      </c>
      <c r="U249" s="419">
        <v>0</v>
      </c>
      <c r="V249" s="419">
        <v>0</v>
      </c>
      <c r="W249" s="419">
        <v>0</v>
      </c>
      <c r="X249" s="419">
        <v>0</v>
      </c>
      <c r="Y249" s="419">
        <v>0</v>
      </c>
      <c r="Z249" s="419">
        <v>0</v>
      </c>
      <c r="AA249" s="419">
        <v>0</v>
      </c>
      <c r="AB249" s="93"/>
      <c r="AC249" s="470" t="s">
        <v>218</v>
      </c>
      <c r="AD249" s="440"/>
      <c r="AE249" s="93"/>
      <c r="AF249" s="158"/>
      <c r="AG249" s="419">
        <v>0</v>
      </c>
      <c r="AH249" s="419">
        <v>0</v>
      </c>
      <c r="AI249" s="419">
        <v>0</v>
      </c>
      <c r="AJ249" s="419">
        <v>0</v>
      </c>
      <c r="AK249" s="419">
        <v>0</v>
      </c>
      <c r="AL249" s="419">
        <v>0</v>
      </c>
      <c r="AM249" s="419">
        <v>0</v>
      </c>
      <c r="AN249" s="419">
        <v>0</v>
      </c>
      <c r="AO249" s="419">
        <v>0</v>
      </c>
      <c r="AP249" s="264"/>
      <c r="AQ249" s="264"/>
      <c r="AR249" s="470" t="s">
        <v>218</v>
      </c>
      <c r="AS249" s="440"/>
      <c r="AT249" s="93"/>
      <c r="AU249" s="158"/>
      <c r="AV249" s="419">
        <v>0</v>
      </c>
      <c r="AW249" s="419">
        <v>0</v>
      </c>
      <c r="AX249" s="419">
        <v>0</v>
      </c>
      <c r="AY249" s="419">
        <v>0</v>
      </c>
      <c r="AZ249" s="419">
        <v>0</v>
      </c>
      <c r="BA249" s="419">
        <v>0</v>
      </c>
      <c r="BB249" s="419">
        <v>0</v>
      </c>
      <c r="BC249" s="419">
        <v>0</v>
      </c>
      <c r="BD249" s="419">
        <v>0</v>
      </c>
      <c r="BE249" s="264"/>
      <c r="BF249" s="470" t="s">
        <v>218</v>
      </c>
      <c r="BG249" s="440"/>
      <c r="BH249" s="93"/>
      <c r="BI249" s="158"/>
      <c r="BJ249" s="419">
        <v>0</v>
      </c>
      <c r="BK249" s="419">
        <v>0</v>
      </c>
      <c r="BL249" s="419">
        <v>0</v>
      </c>
      <c r="BM249" s="419">
        <v>0</v>
      </c>
      <c r="BN249" s="419">
        <v>0</v>
      </c>
      <c r="BO249" s="419">
        <v>0</v>
      </c>
      <c r="BP249" s="419">
        <v>0</v>
      </c>
      <c r="BQ249" s="419">
        <v>0</v>
      </c>
      <c r="BR249" s="419">
        <v>0</v>
      </c>
      <c r="BS249" s="263"/>
    </row>
    <row r="250" spans="1:71" ht="24" customHeight="1" outlineLevel="1" x14ac:dyDescent="0.2">
      <c r="A250" s="400"/>
      <c r="B250" s="437" t="s">
        <v>108</v>
      </c>
      <c r="C250" s="171" t="s">
        <v>160</v>
      </c>
      <c r="D250" s="432" t="s">
        <v>109</v>
      </c>
      <c r="E250" s="441" t="s">
        <v>150</v>
      </c>
      <c r="F250" s="433" t="s">
        <v>51</v>
      </c>
      <c r="G250" s="426" t="s">
        <v>50</v>
      </c>
      <c r="H250" s="517" t="s">
        <v>214</v>
      </c>
      <c r="I250" s="741" t="s">
        <v>238</v>
      </c>
      <c r="J250" s="407"/>
      <c r="K250" s="454"/>
      <c r="L250" s="454"/>
      <c r="M250" s="454"/>
      <c r="N250" s="264"/>
      <c r="O250" s="519" t="s">
        <v>222</v>
      </c>
      <c r="P250" s="264"/>
      <c r="Q250" s="374">
        <v>0.75</v>
      </c>
      <c r="R250" s="264"/>
      <c r="S250" s="419">
        <f>(1+Sensitivity_GP_FE_Comms)*(Standard_Process_Effort*(1+PM_Overhead)*$Q250)</f>
        <v>24.75</v>
      </c>
      <c r="T250" s="419">
        <f>(1+Sensitivity_GP_FE_Comms)*(Standard_Process_Effort*(1+PM_Overhead)*$Q250)</f>
        <v>24.75</v>
      </c>
      <c r="U250" s="419">
        <f>(1+Sensitivity_GP_FE_Comms)*(Standard_Process_Effort*(1+PM_Overhead)*$Q250)</f>
        <v>24.75</v>
      </c>
      <c r="V250" s="419">
        <f>(1+Sensitivity_GP_FE_Comms)*(Standard_Process_Effort*(1+PM_Overhead)*$Q250)</f>
        <v>24.75</v>
      </c>
      <c r="W250" s="419">
        <f>(1+Sensitivity_GP_FE_Comms)*0</f>
        <v>0</v>
      </c>
      <c r="X250" s="419">
        <f>(1+Sensitivity_GP_FE_Comms)*0</f>
        <v>0</v>
      </c>
      <c r="Y250" s="419">
        <f>(1+Sensitivity_GP_FE_Comms)*(Standard_Process_Effort*(1+PM_Overhead)*$Q250)*TierC_TierB_ratio</f>
        <v>12.375</v>
      </c>
      <c r="Z250" s="419">
        <f>(1+Sensitivity_GP_FE_Comms)*0</f>
        <v>0</v>
      </c>
      <c r="AA250" s="419">
        <f>Y250</f>
        <v>12.375</v>
      </c>
      <c r="AB250" s="93"/>
      <c r="AC250" s="519" t="s">
        <v>222</v>
      </c>
      <c r="AD250" s="454"/>
      <c r="AE250" s="374">
        <v>0.75</v>
      </c>
      <c r="AF250" s="263"/>
      <c r="AG250" s="419">
        <f>(1+Sensitivity_GP_FE_Comms)*(Standard_Process_Effort*(1+PM_Overhead)*$AE250)</f>
        <v>24.75</v>
      </c>
      <c r="AH250" s="419">
        <f>(1+Sensitivity_GP_FE_Comms)*(Standard_Process_Effort*(1+PM_Overhead)*$AE250)</f>
        <v>24.75</v>
      </c>
      <c r="AI250" s="419">
        <f>(1+Sensitivity_GP_FE_Comms)*(Standard_Process_Effort*(1+PM_Overhead)*$AE250)</f>
        <v>24.75</v>
      </c>
      <c r="AJ250" s="419">
        <f>(1+Sensitivity_GP_FE_Comms)*(Standard_Process_Effort*(1+PM_Overhead)*$AE250)</f>
        <v>24.75</v>
      </c>
      <c r="AK250" s="419">
        <f>(1+Sensitivity_GP_FE_Comms)*0</f>
        <v>0</v>
      </c>
      <c r="AL250" s="419">
        <f>(1+Sensitivity_GP_FE_Comms)*0</f>
        <v>0</v>
      </c>
      <c r="AM250" s="419">
        <f>(1+Sensitivity_GP_FE_Comms)*(Standard_Process_Effort*(1+PM_Overhead)*$Q250)*TierC_TierB_ratio</f>
        <v>12.375</v>
      </c>
      <c r="AN250" s="419">
        <f>(1+Sensitivity_GP_FE_Comms)*0</f>
        <v>0</v>
      </c>
      <c r="AO250" s="419">
        <f>AM250</f>
        <v>12.375</v>
      </c>
      <c r="AP250" s="264"/>
      <c r="AQ250" s="264"/>
      <c r="AR250" s="519" t="s">
        <v>222</v>
      </c>
      <c r="AS250" s="454"/>
      <c r="AT250" s="374">
        <v>0.75</v>
      </c>
      <c r="AU250" s="263"/>
      <c r="AV250" s="419">
        <f>(1+Sensitivity_GP_FE_Comms)*(Standard_Process_Effort*(1+PM_Overhead)*$AT250)</f>
        <v>24.75</v>
      </c>
      <c r="AW250" s="419">
        <f>(1+Sensitivity_GP_FE_Comms)*(Standard_Process_Effort*(1+PM_Overhead)*$AT250)</f>
        <v>24.75</v>
      </c>
      <c r="AX250" s="419">
        <f>(1+Sensitivity_GP_FE_Comms)*(Standard_Process_Effort*(1+PM_Overhead)*$AT250)</f>
        <v>24.75</v>
      </c>
      <c r="AY250" s="419">
        <f>(1+Sensitivity_GP_FE_Comms)*(Standard_Process_Effort*(1+PM_Overhead)*$AT250)</f>
        <v>24.75</v>
      </c>
      <c r="AZ250" s="419">
        <f>(1+Sensitivity_GP_FE_Comms)*0</f>
        <v>0</v>
      </c>
      <c r="BA250" s="419">
        <f>(1+Sensitivity_GP_FE_Comms)*0</f>
        <v>0</v>
      </c>
      <c r="BB250" s="419">
        <f>(1+Sensitivity_GP_FE_Comms)*(Standard_Process_Effort*(1+PM_Overhead)*$AT250)*TierC_TierB_ratio</f>
        <v>12.375</v>
      </c>
      <c r="BC250" s="419">
        <f>(1+Sensitivity_GP_FE_Comms)*0</f>
        <v>0</v>
      </c>
      <c r="BD250" s="419">
        <f>BB250</f>
        <v>12.375</v>
      </c>
      <c r="BE250" s="264"/>
      <c r="BF250" s="519" t="s">
        <v>222</v>
      </c>
      <c r="BG250" s="454"/>
      <c r="BH250" s="374">
        <v>0.75</v>
      </c>
      <c r="BI250" s="263"/>
      <c r="BJ250" s="419">
        <f>(1+Sensitivity_GP_FE_Comms)*(Standard_Process_Effort*(1+PM_Overhead)*$BH250)</f>
        <v>24.75</v>
      </c>
      <c r="BK250" s="419">
        <f>(1+Sensitivity_GP_FE_Comms)*(Standard_Process_Effort*(1+PM_Overhead)*$BH250)</f>
        <v>24.75</v>
      </c>
      <c r="BL250" s="419">
        <f>(1+Sensitivity_GP_FE_Comms)*(Standard_Process_Effort*(1+PM_Overhead)*$BH250)</f>
        <v>24.75</v>
      </c>
      <c r="BM250" s="419">
        <f>(1+Sensitivity_GP_FE_Comms)*(Standard_Process_Effort*(1+PM_Overhead)*$BH250)</f>
        <v>24.75</v>
      </c>
      <c r="BN250" s="419">
        <f>(1+Sensitivity_GP_FE_Comms)*0</f>
        <v>0</v>
      </c>
      <c r="BO250" s="419">
        <f>(1+Sensitivity_GP_FE_Comms)*0</f>
        <v>0</v>
      </c>
      <c r="BP250" s="419">
        <f>(1+Sensitivity_GP_FE_Comms)*(Standard_Process_Effort*(1+PM_Overhead)*$BH250)*TierC_TierB_ratio</f>
        <v>12.375</v>
      </c>
      <c r="BQ250" s="419">
        <f>(1+Sensitivity_GP_FE_Comms)*0</f>
        <v>0</v>
      </c>
      <c r="BR250" s="419">
        <f>BP250</f>
        <v>12.375</v>
      </c>
      <c r="BS250" s="263"/>
    </row>
    <row r="251" spans="1:71" ht="24" customHeight="1" outlineLevel="1" x14ac:dyDescent="0.2">
      <c r="A251" s="400"/>
      <c r="B251" s="437" t="s">
        <v>108</v>
      </c>
      <c r="C251" s="171" t="s">
        <v>160</v>
      </c>
      <c r="D251" s="432" t="s">
        <v>109</v>
      </c>
      <c r="E251" s="441" t="s">
        <v>150</v>
      </c>
      <c r="F251" s="433" t="s">
        <v>49</v>
      </c>
      <c r="G251" s="426" t="s">
        <v>47</v>
      </c>
      <c r="H251" s="517" t="s">
        <v>118</v>
      </c>
      <c r="I251" s="742"/>
      <c r="J251" s="407"/>
      <c r="K251" s="454"/>
      <c r="L251" s="454"/>
      <c r="M251" s="454"/>
      <c r="N251" s="264"/>
      <c r="O251" s="519"/>
      <c r="P251" s="264"/>
      <c r="Q251" s="264"/>
      <c r="R251" s="264"/>
      <c r="S251" s="374">
        <v>0.2</v>
      </c>
      <c r="T251" s="374">
        <v>0.2</v>
      </c>
      <c r="U251" s="374">
        <v>0.2</v>
      </c>
      <c r="V251" s="374">
        <v>0.2</v>
      </c>
      <c r="W251" s="374">
        <v>0.2</v>
      </c>
      <c r="X251" s="374">
        <v>0.2</v>
      </c>
      <c r="Y251" s="374">
        <v>0.2</v>
      </c>
      <c r="Z251" s="374">
        <v>0.2</v>
      </c>
      <c r="AA251" s="374">
        <v>0.2</v>
      </c>
      <c r="AB251" s="93"/>
      <c r="AC251" s="519"/>
      <c r="AD251" s="454"/>
      <c r="AE251" s="264"/>
      <c r="AF251" s="263"/>
      <c r="AG251" s="374">
        <v>0.2</v>
      </c>
      <c r="AH251" s="374">
        <v>0.2</v>
      </c>
      <c r="AI251" s="374">
        <v>0.2</v>
      </c>
      <c r="AJ251" s="374">
        <v>0.2</v>
      </c>
      <c r="AK251" s="374">
        <v>0.2</v>
      </c>
      <c r="AL251" s="374">
        <v>0.2</v>
      </c>
      <c r="AM251" s="374">
        <v>0.2</v>
      </c>
      <c r="AN251" s="374">
        <v>0.2</v>
      </c>
      <c r="AO251" s="374">
        <v>0.2</v>
      </c>
      <c r="AP251" s="264"/>
      <c r="AQ251" s="264"/>
      <c r="AR251" s="519"/>
      <c r="AS251" s="454"/>
      <c r="AT251" s="264"/>
      <c r="AU251" s="263"/>
      <c r="AV251" s="374">
        <v>0.2</v>
      </c>
      <c r="AW251" s="374">
        <v>0.2</v>
      </c>
      <c r="AX251" s="374">
        <v>0.2</v>
      </c>
      <c r="AY251" s="374">
        <v>0.2</v>
      </c>
      <c r="AZ251" s="374">
        <v>0.2</v>
      </c>
      <c r="BA251" s="374">
        <v>0.2</v>
      </c>
      <c r="BB251" s="374">
        <v>0.2</v>
      </c>
      <c r="BC251" s="374">
        <v>0.2</v>
      </c>
      <c r="BD251" s="374">
        <v>0.2</v>
      </c>
      <c r="BE251" s="264"/>
      <c r="BF251" s="519"/>
      <c r="BG251" s="454"/>
      <c r="BH251" s="264"/>
      <c r="BI251" s="263"/>
      <c r="BJ251" s="374">
        <v>0.2</v>
      </c>
      <c r="BK251" s="374">
        <v>0.2</v>
      </c>
      <c r="BL251" s="374">
        <v>0.2</v>
      </c>
      <c r="BM251" s="374">
        <v>0.2</v>
      </c>
      <c r="BN251" s="374">
        <v>0.2</v>
      </c>
      <c r="BO251" s="374">
        <v>0.2</v>
      </c>
      <c r="BP251" s="374">
        <v>0.2</v>
      </c>
      <c r="BQ251" s="374">
        <v>0.2</v>
      </c>
      <c r="BR251" s="374">
        <v>0.2</v>
      </c>
      <c r="BS251" s="263"/>
    </row>
    <row r="252" spans="1:71" ht="24" customHeight="1" outlineLevel="1" x14ac:dyDescent="0.2">
      <c r="A252" s="400"/>
      <c r="B252" s="437" t="s">
        <v>108</v>
      </c>
      <c r="C252" s="171" t="s">
        <v>160</v>
      </c>
      <c r="D252" s="432" t="s">
        <v>109</v>
      </c>
      <c r="E252" s="441" t="s">
        <v>150</v>
      </c>
      <c r="F252" s="433" t="s">
        <v>51</v>
      </c>
      <c r="G252" s="426" t="s">
        <v>50</v>
      </c>
      <c r="H252" s="517" t="s">
        <v>117</v>
      </c>
      <c r="I252" s="742"/>
      <c r="J252" s="407"/>
      <c r="K252" s="454"/>
      <c r="L252" s="454"/>
      <c r="M252" s="454"/>
      <c r="N252" s="93"/>
      <c r="O252" s="519" t="s">
        <v>250</v>
      </c>
      <c r="P252" s="93"/>
      <c r="Q252" s="374">
        <v>0</v>
      </c>
      <c r="R252" s="93"/>
      <c r="S252" s="419">
        <f t="shared" ref="S252:AA252" si="235">(1+Sensitivity_GP_FE_Comms)*0</f>
        <v>0</v>
      </c>
      <c r="T252" s="419">
        <f t="shared" si="235"/>
        <v>0</v>
      </c>
      <c r="U252" s="419">
        <f t="shared" si="235"/>
        <v>0</v>
      </c>
      <c r="V252" s="419">
        <f t="shared" si="235"/>
        <v>0</v>
      </c>
      <c r="W252" s="419">
        <f t="shared" si="235"/>
        <v>0</v>
      </c>
      <c r="X252" s="419">
        <f t="shared" si="235"/>
        <v>0</v>
      </c>
      <c r="Y252" s="419">
        <f t="shared" si="235"/>
        <v>0</v>
      </c>
      <c r="Z252" s="419">
        <f t="shared" si="235"/>
        <v>0</v>
      </c>
      <c r="AA252" s="419">
        <f t="shared" si="235"/>
        <v>0</v>
      </c>
      <c r="AB252" s="93"/>
      <c r="AC252" s="519" t="s">
        <v>250</v>
      </c>
      <c r="AD252" s="454"/>
      <c r="AE252" s="374">
        <v>0</v>
      </c>
      <c r="AF252" s="158"/>
      <c r="AG252" s="419">
        <f t="shared" ref="AG252:AO252" si="236">(1+Sensitivity_GP_FE_Comms)*0</f>
        <v>0</v>
      </c>
      <c r="AH252" s="419">
        <f t="shared" si="236"/>
        <v>0</v>
      </c>
      <c r="AI252" s="419">
        <f t="shared" si="236"/>
        <v>0</v>
      </c>
      <c r="AJ252" s="419">
        <f t="shared" si="236"/>
        <v>0</v>
      </c>
      <c r="AK252" s="419">
        <f t="shared" si="236"/>
        <v>0</v>
      </c>
      <c r="AL252" s="419">
        <f t="shared" si="236"/>
        <v>0</v>
      </c>
      <c r="AM252" s="419">
        <f t="shared" si="236"/>
        <v>0</v>
      </c>
      <c r="AN252" s="419">
        <f t="shared" si="236"/>
        <v>0</v>
      </c>
      <c r="AO252" s="419">
        <f t="shared" si="236"/>
        <v>0</v>
      </c>
      <c r="AP252" s="264"/>
      <c r="AQ252" s="264"/>
      <c r="AR252" s="519" t="s">
        <v>250</v>
      </c>
      <c r="AS252" s="454"/>
      <c r="AT252" s="374">
        <v>0</v>
      </c>
      <c r="AU252" s="158"/>
      <c r="AV252" s="419">
        <f t="shared" ref="AV252:BD252" si="237">(1+Sensitivity_GP_FE_Comms)*0</f>
        <v>0</v>
      </c>
      <c r="AW252" s="419">
        <f t="shared" si="237"/>
        <v>0</v>
      </c>
      <c r="AX252" s="419">
        <f t="shared" si="237"/>
        <v>0</v>
      </c>
      <c r="AY252" s="419">
        <f t="shared" si="237"/>
        <v>0</v>
      </c>
      <c r="AZ252" s="419">
        <f t="shared" si="237"/>
        <v>0</v>
      </c>
      <c r="BA252" s="419">
        <f t="shared" si="237"/>
        <v>0</v>
      </c>
      <c r="BB252" s="419">
        <f t="shared" si="237"/>
        <v>0</v>
      </c>
      <c r="BC252" s="419">
        <f t="shared" si="237"/>
        <v>0</v>
      </c>
      <c r="BD252" s="419">
        <f t="shared" si="237"/>
        <v>0</v>
      </c>
      <c r="BE252" s="264"/>
      <c r="BF252" s="519" t="s">
        <v>250</v>
      </c>
      <c r="BG252" s="454"/>
      <c r="BH252" s="374">
        <v>0</v>
      </c>
      <c r="BI252" s="158"/>
      <c r="BJ252" s="419">
        <f t="shared" ref="BJ252:BR252" si="238">(1+Sensitivity_GP_FE_Comms)*0</f>
        <v>0</v>
      </c>
      <c r="BK252" s="419">
        <f t="shared" si="238"/>
        <v>0</v>
      </c>
      <c r="BL252" s="419">
        <f t="shared" si="238"/>
        <v>0</v>
      </c>
      <c r="BM252" s="419">
        <f t="shared" si="238"/>
        <v>0</v>
      </c>
      <c r="BN252" s="419">
        <f t="shared" si="238"/>
        <v>0</v>
      </c>
      <c r="BO252" s="419">
        <f t="shared" si="238"/>
        <v>0</v>
      </c>
      <c r="BP252" s="419">
        <f t="shared" si="238"/>
        <v>0</v>
      </c>
      <c r="BQ252" s="419">
        <f t="shared" si="238"/>
        <v>0</v>
      </c>
      <c r="BR252" s="419">
        <f t="shared" si="238"/>
        <v>0</v>
      </c>
      <c r="BS252" s="263"/>
    </row>
    <row r="253" spans="1:71" ht="24" customHeight="1" outlineLevel="1" x14ac:dyDescent="0.2">
      <c r="A253" s="400"/>
      <c r="B253" s="437" t="s">
        <v>108</v>
      </c>
      <c r="C253" s="171" t="s">
        <v>160</v>
      </c>
      <c r="D253" s="432" t="s">
        <v>109</v>
      </c>
      <c r="E253" s="441" t="s">
        <v>150</v>
      </c>
      <c r="F253" s="433" t="s">
        <v>48</v>
      </c>
      <c r="G253" s="426" t="s">
        <v>50</v>
      </c>
      <c r="H253" s="517" t="s">
        <v>155</v>
      </c>
      <c r="I253" s="743"/>
      <c r="J253" s="407"/>
      <c r="K253" s="264"/>
      <c r="L253" s="264"/>
      <c r="M253" s="264"/>
      <c r="N253" s="264"/>
      <c r="O253" s="610" t="s">
        <v>218</v>
      </c>
      <c r="P253" s="264"/>
      <c r="Q253" s="264"/>
      <c r="R253" s="264"/>
      <c r="S253" s="419">
        <v>0</v>
      </c>
      <c r="T253" s="419">
        <v>0</v>
      </c>
      <c r="U253" s="419">
        <v>0</v>
      </c>
      <c r="V253" s="419">
        <v>0</v>
      </c>
      <c r="W253" s="419">
        <v>0</v>
      </c>
      <c r="X253" s="419">
        <v>0</v>
      </c>
      <c r="Y253" s="419">
        <v>0</v>
      </c>
      <c r="Z253" s="419">
        <v>0</v>
      </c>
      <c r="AA253" s="419">
        <v>0</v>
      </c>
      <c r="AB253" s="93"/>
      <c r="AC253" s="610" t="s">
        <v>218</v>
      </c>
      <c r="AD253" s="264"/>
      <c r="AE253" s="264"/>
      <c r="AF253" s="263"/>
      <c r="AG253" s="419">
        <v>0</v>
      </c>
      <c r="AH253" s="419">
        <v>0</v>
      </c>
      <c r="AI253" s="419">
        <v>0</v>
      </c>
      <c r="AJ253" s="419">
        <v>0</v>
      </c>
      <c r="AK253" s="419">
        <v>0</v>
      </c>
      <c r="AL253" s="419">
        <v>0</v>
      </c>
      <c r="AM253" s="419">
        <v>0</v>
      </c>
      <c r="AN253" s="419">
        <v>0</v>
      </c>
      <c r="AO253" s="419">
        <v>0</v>
      </c>
      <c r="AP253" s="264"/>
      <c r="AQ253" s="264"/>
      <c r="AR253" s="610" t="s">
        <v>218</v>
      </c>
      <c r="AS253" s="264"/>
      <c r="AT253" s="264"/>
      <c r="AU253" s="263"/>
      <c r="AV253" s="419">
        <v>0</v>
      </c>
      <c r="AW253" s="419">
        <v>0</v>
      </c>
      <c r="AX253" s="419">
        <v>0</v>
      </c>
      <c r="AY253" s="419">
        <v>0</v>
      </c>
      <c r="AZ253" s="419">
        <v>0</v>
      </c>
      <c r="BA253" s="419">
        <v>0</v>
      </c>
      <c r="BB253" s="419">
        <v>0</v>
      </c>
      <c r="BC253" s="419">
        <v>0</v>
      </c>
      <c r="BD253" s="419">
        <v>0</v>
      </c>
      <c r="BE253" s="264"/>
      <c r="BF253" s="610" t="s">
        <v>218</v>
      </c>
      <c r="BG253" s="264"/>
      <c r="BH253" s="264"/>
      <c r="BI253" s="263"/>
      <c r="BJ253" s="419">
        <v>0</v>
      </c>
      <c r="BK253" s="419">
        <v>0</v>
      </c>
      <c r="BL253" s="419">
        <v>0</v>
      </c>
      <c r="BM253" s="419">
        <v>0</v>
      </c>
      <c r="BN253" s="419">
        <v>0</v>
      </c>
      <c r="BO253" s="419">
        <v>0</v>
      </c>
      <c r="BP253" s="419">
        <v>0</v>
      </c>
      <c r="BQ253" s="419">
        <v>0</v>
      </c>
      <c r="BR253" s="419">
        <v>0</v>
      </c>
      <c r="BS253" s="263"/>
    </row>
    <row r="254" spans="1:71" s="139" customFormat="1" ht="24" customHeight="1" outlineLevel="1" x14ac:dyDescent="0.2">
      <c r="A254" s="520"/>
      <c r="B254" s="521"/>
      <c r="C254" s="522"/>
      <c r="D254" s="560"/>
      <c r="E254" s="98"/>
      <c r="F254" s="523"/>
      <c r="G254" s="488"/>
      <c r="H254" s="484" t="s">
        <v>205</v>
      </c>
      <c r="I254" s="358"/>
      <c r="J254" s="407"/>
      <c r="K254" s="440"/>
      <c r="L254" s="440"/>
      <c r="M254" s="440"/>
      <c r="N254" s="265"/>
      <c r="O254" s="440"/>
      <c r="P254" s="265"/>
      <c r="Q254" s="602">
        <f>SUMIF($H$246:$H$253,$H$246,Q$246:Q$253)</f>
        <v>1</v>
      </c>
      <c r="R254" s="265"/>
      <c r="S254" s="561">
        <f>SUMIF($H$246:$H$253,$H$246,S$246:S$253)</f>
        <v>33</v>
      </c>
      <c r="T254" s="561">
        <f t="shared" ref="T254:AA254" si="239">SUMIF($H$246:$H$253,$H$246,T$246:T$253)</f>
        <v>33</v>
      </c>
      <c r="U254" s="561">
        <f t="shared" si="239"/>
        <v>33</v>
      </c>
      <c r="V254" s="561">
        <f t="shared" si="239"/>
        <v>33</v>
      </c>
      <c r="W254" s="561">
        <f t="shared" si="239"/>
        <v>0</v>
      </c>
      <c r="X254" s="561">
        <f t="shared" si="239"/>
        <v>0</v>
      </c>
      <c r="Y254" s="561">
        <f t="shared" si="239"/>
        <v>16.5</v>
      </c>
      <c r="Z254" s="561">
        <f t="shared" si="239"/>
        <v>0</v>
      </c>
      <c r="AA254" s="561">
        <f t="shared" si="239"/>
        <v>16.5</v>
      </c>
      <c r="AB254" s="265"/>
      <c r="AC254" s="440"/>
      <c r="AD254" s="440"/>
      <c r="AE254" s="602">
        <f>SUMIF($H$246:$H$253,$H$246,AE$246:AE$253)</f>
        <v>1</v>
      </c>
      <c r="AF254" s="265"/>
      <c r="AG254" s="561">
        <f>SUMIF($H$246:$H$253,$H$246,AG$246:AG$253)</f>
        <v>33</v>
      </c>
      <c r="AH254" s="561">
        <f t="shared" ref="AH254:AO254" si="240">SUMIF($H$246:$H$253,$H$246,AH$246:AH$253)</f>
        <v>33</v>
      </c>
      <c r="AI254" s="561">
        <f t="shared" si="240"/>
        <v>33</v>
      </c>
      <c r="AJ254" s="561">
        <f t="shared" si="240"/>
        <v>33</v>
      </c>
      <c r="AK254" s="561">
        <f t="shared" si="240"/>
        <v>0</v>
      </c>
      <c r="AL254" s="561">
        <f t="shared" si="240"/>
        <v>0</v>
      </c>
      <c r="AM254" s="561">
        <f t="shared" si="240"/>
        <v>16.5</v>
      </c>
      <c r="AN254" s="561">
        <f t="shared" si="240"/>
        <v>0</v>
      </c>
      <c r="AO254" s="561">
        <f t="shared" si="240"/>
        <v>16.5</v>
      </c>
      <c r="AP254" s="265"/>
      <c r="AQ254" s="265"/>
      <c r="AR254" s="440"/>
      <c r="AS254" s="440"/>
      <c r="AT254" s="602">
        <f>SUMIF($H$246:$H$253,$H$246,AT$246:AT$253)</f>
        <v>1</v>
      </c>
      <c r="AU254" s="265"/>
      <c r="AV254" s="561">
        <f>SUMIF($H$246:$H$253,$H$246,AV$246:AV$253)</f>
        <v>33</v>
      </c>
      <c r="AW254" s="561">
        <f t="shared" ref="AW254:BD254" si="241">SUMIF($H$246:$H$253,$H$246,AW$246:AW$253)</f>
        <v>33</v>
      </c>
      <c r="AX254" s="561">
        <f t="shared" si="241"/>
        <v>33</v>
      </c>
      <c r="AY254" s="561">
        <f t="shared" si="241"/>
        <v>33</v>
      </c>
      <c r="AZ254" s="561">
        <f t="shared" si="241"/>
        <v>0</v>
      </c>
      <c r="BA254" s="561">
        <f t="shared" si="241"/>
        <v>0</v>
      </c>
      <c r="BB254" s="561">
        <f t="shared" si="241"/>
        <v>16.5</v>
      </c>
      <c r="BC254" s="561">
        <f t="shared" si="241"/>
        <v>0</v>
      </c>
      <c r="BD254" s="561">
        <f t="shared" si="241"/>
        <v>16.5</v>
      </c>
      <c r="BE254" s="265"/>
      <c r="BF254" s="440"/>
      <c r="BG254" s="440"/>
      <c r="BH254" s="602">
        <f>SUMIF($H$246:$H$253,$H$246,BH$246:BH$253)</f>
        <v>1</v>
      </c>
      <c r="BI254" s="265"/>
      <c r="BJ254" s="561">
        <f>SUMIF($H$246:$H$253,$H$246,BJ$246:BJ$253)</f>
        <v>33</v>
      </c>
      <c r="BK254" s="561">
        <f t="shared" ref="BK254:BR254" si="242">SUMIF($H$246:$H$253,$H$246,BK$246:BK$253)</f>
        <v>33</v>
      </c>
      <c r="BL254" s="561">
        <f t="shared" si="242"/>
        <v>33</v>
      </c>
      <c r="BM254" s="561">
        <f t="shared" si="242"/>
        <v>33</v>
      </c>
      <c r="BN254" s="561">
        <f t="shared" si="242"/>
        <v>0</v>
      </c>
      <c r="BO254" s="561">
        <f t="shared" si="242"/>
        <v>0</v>
      </c>
      <c r="BP254" s="561">
        <f t="shared" si="242"/>
        <v>16.5</v>
      </c>
      <c r="BQ254" s="561">
        <f t="shared" si="242"/>
        <v>0</v>
      </c>
      <c r="BR254" s="561">
        <f t="shared" si="242"/>
        <v>16.5</v>
      </c>
      <c r="BS254" s="265"/>
    </row>
    <row r="255" spans="1:71" s="139" customFormat="1" ht="24" customHeight="1" outlineLevel="1" x14ac:dyDescent="0.2">
      <c r="A255" s="520"/>
      <c r="B255" s="521"/>
      <c r="C255" s="522"/>
      <c r="D255" s="560"/>
      <c r="E255" s="98"/>
      <c r="F255" s="523"/>
      <c r="G255" s="488"/>
      <c r="H255" s="484" t="s">
        <v>216</v>
      </c>
      <c r="I255" s="358"/>
      <c r="J255" s="407"/>
      <c r="K255" s="440"/>
      <c r="L255" s="440"/>
      <c r="M255" s="440"/>
      <c r="N255" s="265"/>
      <c r="O255" s="440"/>
      <c r="P255" s="265"/>
      <c r="Q255" s="602">
        <f>SUMIF($H$246:$H$253,$H$248,Q$246:Q$253)</f>
        <v>0</v>
      </c>
      <c r="R255" s="265"/>
      <c r="S255" s="561">
        <f>SUMIF($H$246:$H$253,$H$248,S$246:S$253)</f>
        <v>0</v>
      </c>
      <c r="T255" s="561">
        <f t="shared" ref="T255:AA255" si="243">SUMIF($H$246:$H$253,$H$248,T$246:T$253)</f>
        <v>0</v>
      </c>
      <c r="U255" s="561">
        <f t="shared" si="243"/>
        <v>0</v>
      </c>
      <c r="V255" s="561">
        <f t="shared" si="243"/>
        <v>0</v>
      </c>
      <c r="W255" s="561">
        <f t="shared" si="243"/>
        <v>0</v>
      </c>
      <c r="X255" s="561">
        <f t="shared" si="243"/>
        <v>0</v>
      </c>
      <c r="Y255" s="561">
        <f t="shared" si="243"/>
        <v>0</v>
      </c>
      <c r="Z255" s="561">
        <f t="shared" si="243"/>
        <v>0</v>
      </c>
      <c r="AA255" s="561">
        <f t="shared" si="243"/>
        <v>0</v>
      </c>
      <c r="AB255" s="265"/>
      <c r="AC255" s="440"/>
      <c r="AD255" s="440"/>
      <c r="AE255" s="602">
        <f>SUMIF($H$246:$H$253,$H$248,AE$246:AE$253)</f>
        <v>0</v>
      </c>
      <c r="AF255" s="265"/>
      <c r="AG255" s="561">
        <f>SUMIF($H$246:$H$253,$H$248,AG$246:AG$253)</f>
        <v>0</v>
      </c>
      <c r="AH255" s="561">
        <f t="shared" ref="AH255:AO255" si="244">SUMIF($H$246:$H$253,$H$248,AH$246:AH$253)</f>
        <v>0</v>
      </c>
      <c r="AI255" s="561">
        <f t="shared" si="244"/>
        <v>0</v>
      </c>
      <c r="AJ255" s="561">
        <f t="shared" si="244"/>
        <v>0</v>
      </c>
      <c r="AK255" s="561">
        <f t="shared" si="244"/>
        <v>0</v>
      </c>
      <c r="AL255" s="561">
        <f t="shared" si="244"/>
        <v>0</v>
      </c>
      <c r="AM255" s="561">
        <f t="shared" si="244"/>
        <v>0</v>
      </c>
      <c r="AN255" s="561">
        <f t="shared" si="244"/>
        <v>0</v>
      </c>
      <c r="AO255" s="561">
        <f t="shared" si="244"/>
        <v>0</v>
      </c>
      <c r="AP255" s="265"/>
      <c r="AQ255" s="265"/>
      <c r="AR255" s="440"/>
      <c r="AS255" s="440"/>
      <c r="AT255" s="602">
        <f>SUMIF($H$246:$H$253,$H$248,AT$246:AT$253)</f>
        <v>0</v>
      </c>
      <c r="AU255" s="265"/>
      <c r="AV255" s="561">
        <f>SUMIF($H$246:$H$253,$H$248,AV$246:AV$253)</f>
        <v>0</v>
      </c>
      <c r="AW255" s="561">
        <f t="shared" ref="AW255:BD255" si="245">SUMIF($H$246:$H$253,$H$248,AW$246:AW$253)</f>
        <v>0</v>
      </c>
      <c r="AX255" s="561">
        <f t="shared" si="245"/>
        <v>0</v>
      </c>
      <c r="AY255" s="561">
        <f t="shared" si="245"/>
        <v>0</v>
      </c>
      <c r="AZ255" s="561">
        <f t="shared" si="245"/>
        <v>0</v>
      </c>
      <c r="BA255" s="561">
        <f t="shared" si="245"/>
        <v>0</v>
      </c>
      <c r="BB255" s="561">
        <f t="shared" si="245"/>
        <v>0</v>
      </c>
      <c r="BC255" s="561">
        <f t="shared" si="245"/>
        <v>0</v>
      </c>
      <c r="BD255" s="561">
        <f t="shared" si="245"/>
        <v>0</v>
      </c>
      <c r="BE255" s="265"/>
      <c r="BF255" s="440"/>
      <c r="BG255" s="440"/>
      <c r="BH255" s="602">
        <f>SUMIF($H$246:$H$253,$H$248,BH$246:BH$253)</f>
        <v>0</v>
      </c>
      <c r="BI255" s="265"/>
      <c r="BJ255" s="561">
        <f>SUMIF($H$246:$H$253,$H$248,BJ$246:BJ$253)</f>
        <v>0</v>
      </c>
      <c r="BK255" s="561">
        <f t="shared" ref="BK255:BR255" si="246">SUMIF($H$246:$H$253,$H$248,BK$246:BK$253)</f>
        <v>0</v>
      </c>
      <c r="BL255" s="561">
        <f t="shared" si="246"/>
        <v>0</v>
      </c>
      <c r="BM255" s="561">
        <f t="shared" si="246"/>
        <v>0</v>
      </c>
      <c r="BN255" s="561">
        <f t="shared" si="246"/>
        <v>0</v>
      </c>
      <c r="BO255" s="561">
        <f t="shared" si="246"/>
        <v>0</v>
      </c>
      <c r="BP255" s="561">
        <f t="shared" si="246"/>
        <v>0</v>
      </c>
      <c r="BQ255" s="561">
        <f t="shared" si="246"/>
        <v>0</v>
      </c>
      <c r="BR255" s="561">
        <f t="shared" si="246"/>
        <v>0</v>
      </c>
      <c r="BS255" s="265"/>
    </row>
    <row r="256" spans="1:71" s="139" customFormat="1" ht="24" customHeight="1" outlineLevel="1" x14ac:dyDescent="0.2">
      <c r="A256" s="520"/>
      <c r="B256" s="521"/>
      <c r="C256" s="522"/>
      <c r="D256" s="560"/>
      <c r="E256" s="98"/>
      <c r="F256" s="523"/>
      <c r="G256" s="488"/>
      <c r="H256" s="523"/>
      <c r="I256" s="358"/>
      <c r="J256" s="407"/>
      <c r="K256" s="440"/>
      <c r="L256" s="440"/>
      <c r="M256" s="440"/>
      <c r="N256" s="265"/>
      <c r="O256" s="440"/>
      <c r="P256" s="265"/>
      <c r="Q256" s="265"/>
      <c r="R256" s="265"/>
      <c r="S256" s="527"/>
      <c r="T256" s="527"/>
      <c r="U256" s="527"/>
      <c r="V256" s="527"/>
      <c r="W256" s="527"/>
      <c r="X256" s="527"/>
      <c r="Y256" s="527"/>
      <c r="Z256" s="527"/>
      <c r="AA256" s="527"/>
      <c r="AB256" s="265"/>
      <c r="AC256" s="440"/>
      <c r="AD256" s="440"/>
      <c r="AE256" s="265"/>
      <c r="AF256" s="265"/>
      <c r="AG256" s="527"/>
      <c r="AH256" s="527"/>
      <c r="AI256" s="527"/>
      <c r="AJ256" s="527"/>
      <c r="AK256" s="527"/>
      <c r="AL256" s="527"/>
      <c r="AM256" s="527"/>
      <c r="AN256" s="527"/>
      <c r="AO256" s="527"/>
      <c r="AP256" s="265"/>
      <c r="AQ256" s="265"/>
      <c r="AR256" s="440"/>
      <c r="AS256" s="440"/>
      <c r="AT256" s="265"/>
      <c r="AU256" s="265"/>
      <c r="AV256" s="527"/>
      <c r="AW256" s="527"/>
      <c r="AX256" s="527"/>
      <c r="AY256" s="527"/>
      <c r="AZ256" s="527"/>
      <c r="BA256" s="527"/>
      <c r="BB256" s="527"/>
      <c r="BC256" s="527"/>
      <c r="BD256" s="527"/>
      <c r="BE256" s="265"/>
      <c r="BF256" s="440"/>
      <c r="BG256" s="440"/>
      <c r="BH256" s="265"/>
      <c r="BI256" s="265"/>
      <c r="BJ256" s="527"/>
      <c r="BK256" s="527"/>
      <c r="BL256" s="527"/>
      <c r="BM256" s="527"/>
      <c r="BN256" s="527"/>
      <c r="BO256" s="527"/>
      <c r="BP256" s="527"/>
      <c r="BQ256" s="527"/>
      <c r="BR256" s="527"/>
      <c r="BS256" s="265"/>
    </row>
    <row r="257" spans="1:81" ht="24" customHeight="1" outlineLevel="1" x14ac:dyDescent="0.2">
      <c r="A257" s="312"/>
      <c r="B257" s="437" t="s">
        <v>108</v>
      </c>
      <c r="C257" s="171" t="s">
        <v>162</v>
      </c>
      <c r="D257" s="562" t="s">
        <v>111</v>
      </c>
      <c r="E257" s="421" t="s">
        <v>142</v>
      </c>
      <c r="F257" s="433" t="s">
        <v>61</v>
      </c>
      <c r="G257" s="562" t="s">
        <v>50</v>
      </c>
      <c r="H257" s="564" t="s">
        <v>152</v>
      </c>
      <c r="I257" s="754" t="s">
        <v>156</v>
      </c>
      <c r="J257" s="407"/>
      <c r="K257" s="454"/>
      <c r="L257" s="454"/>
      <c r="M257" s="454"/>
      <c r="N257" s="264"/>
      <c r="O257" s="519" t="s">
        <v>223</v>
      </c>
      <c r="P257" s="264"/>
      <c r="Q257" s="374">
        <v>0.25</v>
      </c>
      <c r="R257" s="264"/>
      <c r="S257" s="419">
        <f>(1+Sensitivity_GP_FE_Comms)*(FE_Standard_Sys_Effort*(1+PM_Overhead)*$Q257)</f>
        <v>16.5</v>
      </c>
      <c r="T257" s="419">
        <f>(1+Sensitivity_GP_FE_Comms)*(FE_Standard_Sys_Effort*(1+PM_Overhead)*$Q257)</f>
        <v>16.5</v>
      </c>
      <c r="U257" s="419">
        <f>(1+Sensitivity_GP_FE_Comms)*(FE_Standard_Sys_Effort*(1+PM_Overhead)*$Q257)</f>
        <v>16.5</v>
      </c>
      <c r="V257" s="419">
        <f>(1+Sensitivity_GP_FE_Comms)*(FE_Standard_Sys_Effort*(1+PM_Overhead)*$Q257)</f>
        <v>16.5</v>
      </c>
      <c r="W257" s="419">
        <f>(1+Sensitivity_GP_FE_Comms)*0</f>
        <v>0</v>
      </c>
      <c r="X257" s="419">
        <f>(1+Sensitivity_GP_FE_Comms)*0</f>
        <v>0</v>
      </c>
      <c r="Y257" s="419">
        <f>(1+Sensitivity_GP_FE_Comms)*(FE_Standard_Sys_Effort*(1+PM_Overhead)*$Q257)*TierC_TierB_ratio</f>
        <v>8.25</v>
      </c>
      <c r="Z257" s="419">
        <f>(1+Sensitivity_GP_FE_Comms)*0</f>
        <v>0</v>
      </c>
      <c r="AA257" s="419">
        <f>Y257</f>
        <v>8.25</v>
      </c>
      <c r="AB257" s="264"/>
      <c r="AC257" s="519" t="s">
        <v>223</v>
      </c>
      <c r="AD257" s="454"/>
      <c r="AE257" s="374">
        <v>0.25</v>
      </c>
      <c r="AF257" s="263"/>
      <c r="AG257" s="419">
        <f>(1+Sensitivity_GP_FE_Comms)*(FE_Standard_Sys_Effort*(1+PM_Overhead)*$AE257)</f>
        <v>16.5</v>
      </c>
      <c r="AH257" s="419">
        <f>(1+Sensitivity_GP_FE_Comms)*(FE_Standard_Sys_Effort*(1+PM_Overhead)*$AE257)</f>
        <v>16.5</v>
      </c>
      <c r="AI257" s="419">
        <f>(1+Sensitivity_GP_FE_Comms)*(FE_Standard_Sys_Effort*(1+PM_Overhead)*$AE257)</f>
        <v>16.5</v>
      </c>
      <c r="AJ257" s="419">
        <f>(1+Sensitivity_GP_FE_Comms)*(FE_Standard_Sys_Effort*(1+PM_Overhead)*$AE257)</f>
        <v>16.5</v>
      </c>
      <c r="AK257" s="419">
        <f>(1+Sensitivity_GP_FE_Comms)*0</f>
        <v>0</v>
      </c>
      <c r="AL257" s="419">
        <f>(1+Sensitivity_GP_FE_Comms)*0</f>
        <v>0</v>
      </c>
      <c r="AM257" s="419">
        <f>(1+Sensitivity_GP_FE_Comms)*(FE_Standard_Sys_Effort*(1+PM_Overhead)*$AE257)*TierC_TierB_ratio</f>
        <v>8.25</v>
      </c>
      <c r="AN257" s="419">
        <f>(1+Sensitivity_GP_FE_Comms)*0</f>
        <v>0</v>
      </c>
      <c r="AO257" s="419">
        <f>AM257</f>
        <v>8.25</v>
      </c>
      <c r="AP257" s="264"/>
      <c r="AQ257" s="264"/>
      <c r="AR257" s="519" t="s">
        <v>223</v>
      </c>
      <c r="AS257" s="454"/>
      <c r="AT257" s="374">
        <v>0.25</v>
      </c>
      <c r="AU257" s="263"/>
      <c r="AV257" s="419">
        <f>(1+Sensitivity_GP_FE_Comms)*(FE_Standard_Sys_Effort*(1+PM_Overhead)*$AT257)</f>
        <v>16.5</v>
      </c>
      <c r="AW257" s="419">
        <f>(1+Sensitivity_GP_FE_Comms)*(FE_Standard_Sys_Effort*(1+PM_Overhead)*$AT257)</f>
        <v>16.5</v>
      </c>
      <c r="AX257" s="419">
        <f>(1+Sensitivity_GP_FE_Comms)*(FE_Standard_Sys_Effort*(1+PM_Overhead)*$AT257)</f>
        <v>16.5</v>
      </c>
      <c r="AY257" s="419">
        <f>(1+Sensitivity_GP_FE_Comms)*(FE_Standard_Sys_Effort*(1+PM_Overhead)*$AT257)</f>
        <v>16.5</v>
      </c>
      <c r="AZ257" s="419">
        <f>(1+Sensitivity_GP_FE_Comms)*0</f>
        <v>0</v>
      </c>
      <c r="BA257" s="419">
        <f>(1+Sensitivity_GP_FE_Comms)*0</f>
        <v>0</v>
      </c>
      <c r="BB257" s="419">
        <f>(1+Sensitivity_GP_FE_Comms)*(FE_Standard_Sys_Effort*(1+PM_Overhead)*$AT257)*TierC_TierB_ratio</f>
        <v>8.25</v>
      </c>
      <c r="BC257" s="419">
        <f>(1+Sensitivity_GP_FE_Comms)*0</f>
        <v>0</v>
      </c>
      <c r="BD257" s="419">
        <f>BB257</f>
        <v>8.25</v>
      </c>
      <c r="BE257" s="264"/>
      <c r="BF257" s="519" t="s">
        <v>223</v>
      </c>
      <c r="BG257" s="454"/>
      <c r="BH257" s="374">
        <v>0.25</v>
      </c>
      <c r="BI257" s="263"/>
      <c r="BJ257" s="419">
        <f>(1+Sensitivity_GP_FE_Comms)*(FE_Standard_Sys_Effort*(1+PM_Overhead)*$BH257)</f>
        <v>16.5</v>
      </c>
      <c r="BK257" s="419">
        <f>(1+Sensitivity_GP_FE_Comms)*(FE_Standard_Sys_Effort*(1+PM_Overhead)*$BH257)</f>
        <v>16.5</v>
      </c>
      <c r="BL257" s="419">
        <f>(1+Sensitivity_GP_FE_Comms)*(FE_Standard_Sys_Effort*(1+PM_Overhead)*$BH257)</f>
        <v>16.5</v>
      </c>
      <c r="BM257" s="419">
        <f>(1+Sensitivity_GP_FE_Comms)*(FE_Standard_Sys_Effort*(1+PM_Overhead)*$BH257)</f>
        <v>16.5</v>
      </c>
      <c r="BN257" s="419">
        <f>(1+Sensitivity_GP_FE_Comms)*0</f>
        <v>0</v>
      </c>
      <c r="BO257" s="419">
        <f>(1+Sensitivity_GP_FE_Comms)*0</f>
        <v>0</v>
      </c>
      <c r="BP257" s="419">
        <f>(1+Sensitivity_GP_FE_Comms)*(FE_Standard_Sys_Effort*(1+PM_Overhead)*$BH257)*TierC_TierB_ratio</f>
        <v>8.25</v>
      </c>
      <c r="BQ257" s="419">
        <f>(1+Sensitivity_GP_FE_Comms)*0</f>
        <v>0</v>
      </c>
      <c r="BR257" s="419">
        <f>BP257</f>
        <v>8.25</v>
      </c>
      <c r="BS257" s="263"/>
    </row>
    <row r="258" spans="1:81" ht="24" customHeight="1" outlineLevel="1" x14ac:dyDescent="0.2">
      <c r="A258" s="312"/>
      <c r="B258" s="437" t="s">
        <v>108</v>
      </c>
      <c r="C258" s="171" t="s">
        <v>162</v>
      </c>
      <c r="D258" s="562" t="s">
        <v>111</v>
      </c>
      <c r="E258" s="421" t="s">
        <v>142</v>
      </c>
      <c r="F258" s="433" t="s">
        <v>30</v>
      </c>
      <c r="G258" s="563" t="s">
        <v>50</v>
      </c>
      <c r="H258" s="564" t="s">
        <v>119</v>
      </c>
      <c r="I258" s="754"/>
      <c r="J258" s="453"/>
      <c r="K258" s="467"/>
      <c r="L258" s="467"/>
      <c r="M258" s="467"/>
      <c r="N258" s="264"/>
      <c r="O258" s="550" t="s">
        <v>94</v>
      </c>
      <c r="P258" s="264"/>
      <c r="Q258" s="374">
        <v>0</v>
      </c>
      <c r="R258" s="264"/>
      <c r="S258" s="419">
        <f>(1+Sensitivity_GP_FE_Comms)*0</f>
        <v>0</v>
      </c>
      <c r="T258" s="419">
        <f>(1+Sensitivity_GP_FE_Comms)*0</f>
        <v>0</v>
      </c>
      <c r="U258" s="419">
        <f>(1+Sensitivity_GP_FE_Comms)*0</f>
        <v>0</v>
      </c>
      <c r="V258" s="419">
        <f>(1+Sensitivity_GP_FE_Comms)*0</f>
        <v>0</v>
      </c>
      <c r="W258" s="419">
        <f>(1+Sensitivity_GP_FE_Comms)*0</f>
        <v>0</v>
      </c>
      <c r="X258" s="419">
        <f>(1+Sensitivity_GP_FE_Comms)*0</f>
        <v>0</v>
      </c>
      <c r="Y258" s="419">
        <f>(1+Sensitivity_GP_FE_Comms)*0</f>
        <v>0</v>
      </c>
      <c r="Z258" s="419">
        <f>(1+Sensitivity_GP_FE_Comms)*0</f>
        <v>0</v>
      </c>
      <c r="AA258" s="419">
        <f>(1+Sensitivity_GP_FE_Comms)*0</f>
        <v>0</v>
      </c>
      <c r="AB258" s="264"/>
      <c r="AC258" s="550" t="s">
        <v>94</v>
      </c>
      <c r="AD258" s="467"/>
      <c r="AE258" s="264"/>
      <c r="AF258" s="263"/>
      <c r="AG258" s="419">
        <f>(1+Sensitivity_GP_FE_Comms)*0</f>
        <v>0</v>
      </c>
      <c r="AH258" s="419">
        <f>(1+Sensitivity_GP_FE_Comms)*0</f>
        <v>0</v>
      </c>
      <c r="AI258" s="419">
        <f>(1+Sensitivity_GP_FE_Comms)*0</f>
        <v>0</v>
      </c>
      <c r="AJ258" s="419">
        <f>(1+Sensitivity_GP_FE_Comms)*0</f>
        <v>0</v>
      </c>
      <c r="AK258" s="419">
        <f>(1+Sensitivity_GP_FE_Comms)*0</f>
        <v>0</v>
      </c>
      <c r="AL258" s="419">
        <f>(1+Sensitivity_GP_FE_Comms)*0</f>
        <v>0</v>
      </c>
      <c r="AM258" s="419">
        <f>(1+Sensitivity_GP_FE_Comms)*0</f>
        <v>0</v>
      </c>
      <c r="AN258" s="419">
        <f>(1+Sensitivity_GP_FE_Comms)*0</f>
        <v>0</v>
      </c>
      <c r="AO258" s="419">
        <f>(1+Sensitivity_GP_FE_Comms)*0</f>
        <v>0</v>
      </c>
      <c r="AP258" s="264"/>
      <c r="AQ258" s="264"/>
      <c r="AR258" s="550" t="s">
        <v>94</v>
      </c>
      <c r="AS258" s="467"/>
      <c r="AT258" s="264"/>
      <c r="AU258" s="263"/>
      <c r="AV258" s="419">
        <f>(1+Sensitivity_GP_FE_Comms)*0</f>
        <v>0</v>
      </c>
      <c r="AW258" s="419">
        <f>(1+Sensitivity_GP_FE_Comms)*0</f>
        <v>0</v>
      </c>
      <c r="AX258" s="419">
        <f>(1+Sensitivity_GP_FE_Comms)*0</f>
        <v>0</v>
      </c>
      <c r="AY258" s="419">
        <f>(1+Sensitivity_GP_FE_Comms)*0</f>
        <v>0</v>
      </c>
      <c r="AZ258" s="419">
        <f>(1+Sensitivity_GP_FE_Comms)*0</f>
        <v>0</v>
      </c>
      <c r="BA258" s="419">
        <f>(1+Sensitivity_GP_FE_Comms)*0</f>
        <v>0</v>
      </c>
      <c r="BB258" s="419">
        <f>(1+Sensitivity_GP_FE_Comms)*0</f>
        <v>0</v>
      </c>
      <c r="BC258" s="419">
        <f>(1+Sensitivity_GP_FE_Comms)*0</f>
        <v>0</v>
      </c>
      <c r="BD258" s="419">
        <f>(1+Sensitivity_GP_FE_Comms)*0</f>
        <v>0</v>
      </c>
      <c r="BE258" s="264"/>
      <c r="BF258" s="550" t="s">
        <v>94</v>
      </c>
      <c r="BG258" s="467"/>
      <c r="BH258" s="374">
        <v>0</v>
      </c>
      <c r="BI258" s="263"/>
      <c r="BJ258" s="419">
        <f>(1+Sensitivity_GP_FE_Comms)*0</f>
        <v>0</v>
      </c>
      <c r="BK258" s="419">
        <f>(1+Sensitivity_GP_FE_Comms)*0</f>
        <v>0</v>
      </c>
      <c r="BL258" s="419">
        <f>(1+Sensitivity_GP_FE_Comms)*0</f>
        <v>0</v>
      </c>
      <c r="BM258" s="419">
        <f>(1+Sensitivity_GP_FE_Comms)*0</f>
        <v>0</v>
      </c>
      <c r="BN258" s="419">
        <f>(1+Sensitivity_GP_FE_Comms)*0</f>
        <v>0</v>
      </c>
      <c r="BO258" s="419">
        <f>(1+Sensitivity_GP_FE_Comms)*0</f>
        <v>0</v>
      </c>
      <c r="BP258" s="419">
        <f>(1+Sensitivity_GP_FE_Comms)*0</f>
        <v>0</v>
      </c>
      <c r="BQ258" s="419">
        <f>(1+Sensitivity_GP_FE_Comms)*0</f>
        <v>0</v>
      </c>
      <c r="BR258" s="419">
        <f>(1+Sensitivity_GP_FE_Comms)*0</f>
        <v>0</v>
      </c>
      <c r="BS258" s="263"/>
    </row>
    <row r="259" spans="1:81" ht="24" customHeight="1" outlineLevel="1" x14ac:dyDescent="0.2">
      <c r="A259" s="312"/>
      <c r="B259" s="437" t="s">
        <v>108</v>
      </c>
      <c r="C259" s="171" t="s">
        <v>162</v>
      </c>
      <c r="D259" s="562" t="s">
        <v>111</v>
      </c>
      <c r="E259" s="421" t="s">
        <v>142</v>
      </c>
      <c r="F259" s="475" t="s">
        <v>49</v>
      </c>
      <c r="G259" s="563" t="s">
        <v>47</v>
      </c>
      <c r="H259" s="564" t="s">
        <v>120</v>
      </c>
      <c r="I259" s="754"/>
      <c r="J259" s="453"/>
      <c r="K259" s="467"/>
      <c r="L259" s="467"/>
      <c r="M259" s="467"/>
      <c r="N259" s="264"/>
      <c r="O259" s="422"/>
      <c r="P259" s="264"/>
      <c r="Q259" s="264"/>
      <c r="R259" s="264"/>
      <c r="S259" s="374">
        <v>0.2</v>
      </c>
      <c r="T259" s="374">
        <v>0.2</v>
      </c>
      <c r="U259" s="374">
        <v>0.2</v>
      </c>
      <c r="V259" s="374">
        <v>0.2</v>
      </c>
      <c r="W259" s="374">
        <v>0.2</v>
      </c>
      <c r="X259" s="374">
        <v>0.2</v>
      </c>
      <c r="Y259" s="374">
        <v>0.2</v>
      </c>
      <c r="Z259" s="374">
        <v>0.2</v>
      </c>
      <c r="AA259" s="374">
        <v>0.2</v>
      </c>
      <c r="AB259" s="264"/>
      <c r="AC259" s="422"/>
      <c r="AD259" s="467"/>
      <c r="AE259" s="264"/>
      <c r="AF259" s="263"/>
      <c r="AG259" s="374">
        <v>0.2</v>
      </c>
      <c r="AH259" s="374">
        <v>0.2</v>
      </c>
      <c r="AI259" s="374">
        <v>0.2</v>
      </c>
      <c r="AJ259" s="374">
        <v>0.2</v>
      </c>
      <c r="AK259" s="374">
        <v>0.2</v>
      </c>
      <c r="AL259" s="374">
        <v>0.2</v>
      </c>
      <c r="AM259" s="374">
        <v>0.2</v>
      </c>
      <c r="AN259" s="374">
        <v>0.2</v>
      </c>
      <c r="AO259" s="374">
        <v>0.2</v>
      </c>
      <c r="AP259" s="264"/>
      <c r="AQ259" s="264"/>
      <c r="AR259" s="422"/>
      <c r="AS259" s="467"/>
      <c r="AT259" s="264"/>
      <c r="AU259" s="263"/>
      <c r="AV259" s="374">
        <v>0.2</v>
      </c>
      <c r="AW259" s="374">
        <v>0.2</v>
      </c>
      <c r="AX259" s="374">
        <v>0.2</v>
      </c>
      <c r="AY259" s="374">
        <v>0.2</v>
      </c>
      <c r="AZ259" s="374">
        <v>0.2</v>
      </c>
      <c r="BA259" s="374">
        <v>0.2</v>
      </c>
      <c r="BB259" s="374">
        <v>0.2</v>
      </c>
      <c r="BC259" s="374">
        <v>0.2</v>
      </c>
      <c r="BD259" s="374">
        <v>0.2</v>
      </c>
      <c r="BE259" s="264"/>
      <c r="BF259" s="422"/>
      <c r="BG259" s="467"/>
      <c r="BH259" s="264"/>
      <c r="BI259" s="263"/>
      <c r="BJ259" s="374">
        <v>0.2</v>
      </c>
      <c r="BK259" s="374">
        <v>0.2</v>
      </c>
      <c r="BL259" s="374">
        <v>0.2</v>
      </c>
      <c r="BM259" s="374">
        <v>0.2</v>
      </c>
      <c r="BN259" s="374">
        <v>0.2</v>
      </c>
      <c r="BO259" s="374">
        <v>0.2</v>
      </c>
      <c r="BP259" s="374">
        <v>0.2</v>
      </c>
      <c r="BQ259" s="374">
        <v>0.2</v>
      </c>
      <c r="BR259" s="374">
        <v>0.2</v>
      </c>
      <c r="BS259" s="263"/>
    </row>
    <row r="260" spans="1:81" ht="24" customHeight="1" outlineLevel="1" x14ac:dyDescent="0.2">
      <c r="A260" s="312"/>
      <c r="B260" s="546" t="s">
        <v>108</v>
      </c>
      <c r="C260" s="547" t="s">
        <v>162</v>
      </c>
      <c r="D260" s="528" t="s">
        <v>111</v>
      </c>
      <c r="E260" s="529" t="s">
        <v>143</v>
      </c>
      <c r="F260" s="457" t="s">
        <v>61</v>
      </c>
      <c r="G260" s="528" t="s">
        <v>50</v>
      </c>
      <c r="H260" s="530" t="s">
        <v>152</v>
      </c>
      <c r="I260" s="782" t="s">
        <v>246</v>
      </c>
      <c r="J260" s="453"/>
      <c r="K260" s="611"/>
      <c r="L260" s="611"/>
      <c r="M260" s="611"/>
      <c r="N260" s="264"/>
      <c r="O260" s="579" t="s">
        <v>223</v>
      </c>
      <c r="P260" s="264"/>
      <c r="Q260" s="374">
        <v>0.25</v>
      </c>
      <c r="R260" s="264"/>
      <c r="S260" s="419">
        <f>(1+Sensitivity_GP_FE_Comms)*(FE_Standard_Sys_Effort*(1+PM_Overhead)*$Q260)</f>
        <v>16.5</v>
      </c>
      <c r="T260" s="419">
        <f>(1+Sensitivity_GP_FE_Comms)*(FE_Standard_Sys_Effort*(1+PM_Overhead)*$Q260)</f>
        <v>16.5</v>
      </c>
      <c r="U260" s="419">
        <f>(1+Sensitivity_GP_FE_Comms)*(FE_Standard_Sys_Effort*(1+PM_Overhead)*$Q260)</f>
        <v>16.5</v>
      </c>
      <c r="V260" s="419">
        <f>(1+Sensitivity_GP_FE_Comms)*(FE_Standard_Sys_Effort*(1+PM_Overhead)*$Q260)</f>
        <v>16.5</v>
      </c>
      <c r="W260" s="419">
        <f>(1+Sensitivity_GP_FE_Comms)*0</f>
        <v>0</v>
      </c>
      <c r="X260" s="419">
        <f>(1+Sensitivity_GP_FE_Comms)*0</f>
        <v>0</v>
      </c>
      <c r="Y260" s="419">
        <f>(1+Sensitivity_GP_FE_Comms)*(FE_Standard_Sys_Effort*(1+PM_Overhead)*$Q260)*TierC_TierB_ratio</f>
        <v>8.25</v>
      </c>
      <c r="Z260" s="419">
        <f>(1+Sensitivity_GP_FE_Comms)*0</f>
        <v>0</v>
      </c>
      <c r="AA260" s="419">
        <f>Y260</f>
        <v>8.25</v>
      </c>
      <c r="AB260" s="264"/>
      <c r="AC260" s="579" t="s">
        <v>223</v>
      </c>
      <c r="AD260" s="611"/>
      <c r="AE260" s="374">
        <v>0.25</v>
      </c>
      <c r="AF260" s="263"/>
      <c r="AG260" s="419">
        <f>(1+Sensitivity_GP_FE_Comms)*(FE_Standard_Sys_Effort*(1+PM_Overhead)*$AE260)</f>
        <v>16.5</v>
      </c>
      <c r="AH260" s="419">
        <f>(1+Sensitivity_GP_FE_Comms)*(FE_Standard_Sys_Effort*(1+PM_Overhead)*$AE260)</f>
        <v>16.5</v>
      </c>
      <c r="AI260" s="419">
        <f>(1+Sensitivity_GP_FE_Comms)*(FE_Standard_Sys_Effort*(1+PM_Overhead)*$AE260)</f>
        <v>16.5</v>
      </c>
      <c r="AJ260" s="419">
        <f>(1+Sensitivity_GP_FE_Comms)*(FE_Standard_Sys_Effort*(1+PM_Overhead)*$AE260)</f>
        <v>16.5</v>
      </c>
      <c r="AK260" s="419">
        <f>(1+Sensitivity_GP_FE_Comms)*0</f>
        <v>0</v>
      </c>
      <c r="AL260" s="419">
        <f>(1+Sensitivity_GP_FE_Comms)*0</f>
        <v>0</v>
      </c>
      <c r="AM260" s="419">
        <f>(1+Sensitivity_GP_FE_Comms)*(FE_Standard_Sys_Effort*(1+PM_Overhead)*$AE260)*TierC_TierB_ratio</f>
        <v>8.25</v>
      </c>
      <c r="AN260" s="419">
        <f>(1+Sensitivity_GP_FE_Comms)*0</f>
        <v>0</v>
      </c>
      <c r="AO260" s="419">
        <f>AM260</f>
        <v>8.25</v>
      </c>
      <c r="AP260" s="264"/>
      <c r="AQ260" s="264"/>
      <c r="AR260" s="593" t="s">
        <v>223</v>
      </c>
      <c r="AS260" s="611"/>
      <c r="AT260" s="374">
        <v>0.25</v>
      </c>
      <c r="AU260" s="263"/>
      <c r="AV260" s="419">
        <f>(1+Sensitivity_GP_FE_Comms)*(FE_Standard_Sys_Effort*(1+PM_Overhead)*$AT260)</f>
        <v>16.5</v>
      </c>
      <c r="AW260" s="419">
        <f>(1+Sensitivity_GP_FE_Comms)*(FE_Standard_Sys_Effort*(1+PM_Overhead)*$AT260)</f>
        <v>16.5</v>
      </c>
      <c r="AX260" s="419">
        <f>(1+Sensitivity_GP_FE_Comms)*(FE_Standard_Sys_Effort*(1+PM_Overhead)*$AT260)</f>
        <v>16.5</v>
      </c>
      <c r="AY260" s="419">
        <f>(1+Sensitivity_GP_FE_Comms)*(FE_Standard_Sys_Effort*(1+PM_Overhead)*$AT260)</f>
        <v>16.5</v>
      </c>
      <c r="AZ260" s="419">
        <f>(1+Sensitivity_GP_FE_Comms)*0</f>
        <v>0</v>
      </c>
      <c r="BA260" s="419">
        <f>(1+Sensitivity_GP_FE_Comms)*0</f>
        <v>0</v>
      </c>
      <c r="BB260" s="419">
        <f>(1+Sensitivity_GP_FE_Comms)*(FE_Standard_Sys_Effort*(1+PM_Overhead)*$AT260)*TierC_TierB_ratio</f>
        <v>8.25</v>
      </c>
      <c r="BC260" s="419">
        <f>(1+Sensitivity_GP_FE_Comms)*0</f>
        <v>0</v>
      </c>
      <c r="BD260" s="419">
        <f>BB260</f>
        <v>8.25</v>
      </c>
      <c r="BE260" s="264"/>
      <c r="BF260" s="579" t="s">
        <v>223</v>
      </c>
      <c r="BG260" s="611"/>
      <c r="BH260" s="374">
        <v>0.25</v>
      </c>
      <c r="BI260" s="263"/>
      <c r="BJ260" s="419">
        <f>(1+Sensitivity_GP_FE_Comms)*(FE_Standard_Sys_Effort*(1+PM_Overhead)*$BH260)</f>
        <v>16.5</v>
      </c>
      <c r="BK260" s="419">
        <f>(1+Sensitivity_GP_FE_Comms)*(FE_Standard_Sys_Effort*(1+PM_Overhead)*$BH260)</f>
        <v>16.5</v>
      </c>
      <c r="BL260" s="419">
        <f>(1+Sensitivity_GP_FE_Comms)*(FE_Standard_Sys_Effort*(1+PM_Overhead)*$BH260)</f>
        <v>16.5</v>
      </c>
      <c r="BM260" s="419">
        <f>(1+Sensitivity_GP_FE_Comms)*(FE_Standard_Sys_Effort*(1+PM_Overhead)*$BH260)</f>
        <v>16.5</v>
      </c>
      <c r="BN260" s="419">
        <f>(1+Sensitivity_GP_FE_Comms)*0</f>
        <v>0</v>
      </c>
      <c r="BO260" s="419">
        <f>(1+Sensitivity_GP_FE_Comms)*0</f>
        <v>0</v>
      </c>
      <c r="BP260" s="419">
        <f>(1+Sensitivity_GP_FE_Comms)*(FE_Standard_Sys_Effort*(1+PM_Overhead)*$BH260)*TierC_TierB_ratio</f>
        <v>8.25</v>
      </c>
      <c r="BQ260" s="419">
        <f>(1+Sensitivity_GP_FE_Comms)*0</f>
        <v>0</v>
      </c>
      <c r="BR260" s="419">
        <f>BP260</f>
        <v>8.25</v>
      </c>
      <c r="BS260" s="263"/>
    </row>
    <row r="261" spans="1:81" ht="24" customHeight="1" outlineLevel="1" x14ac:dyDescent="0.2">
      <c r="A261" s="312"/>
      <c r="B261" s="546" t="s">
        <v>108</v>
      </c>
      <c r="C261" s="547" t="s">
        <v>162</v>
      </c>
      <c r="D261" s="528" t="s">
        <v>111</v>
      </c>
      <c r="E261" s="529" t="s">
        <v>143</v>
      </c>
      <c r="F261" s="457" t="s">
        <v>30</v>
      </c>
      <c r="G261" s="531" t="s">
        <v>50</v>
      </c>
      <c r="H261" s="530" t="s">
        <v>119</v>
      </c>
      <c r="I261" s="782"/>
      <c r="J261" s="453"/>
      <c r="K261" s="611"/>
      <c r="L261" s="611"/>
      <c r="M261" s="611"/>
      <c r="N261" s="264"/>
      <c r="O261" s="783" t="s">
        <v>154</v>
      </c>
      <c r="P261" s="264"/>
      <c r="Q261" s="374">
        <v>0</v>
      </c>
      <c r="R261" s="264"/>
      <c r="S261" s="419">
        <f>(1+Sensitivity_GP_FE_Comms)*0</f>
        <v>0</v>
      </c>
      <c r="T261" s="419">
        <f>(1+Sensitivity_GP_FE_Comms)*0</f>
        <v>0</v>
      </c>
      <c r="U261" s="419">
        <f>(1+Sensitivity_GP_FE_Comms)*0</f>
        <v>0</v>
      </c>
      <c r="V261" s="419">
        <f>(1+Sensitivity_GP_FE_Comms)*0</f>
        <v>0</v>
      </c>
      <c r="W261" s="419">
        <f>(1+Sensitivity_GP_FE_Comms)*0</f>
        <v>0</v>
      </c>
      <c r="X261" s="419">
        <f>(1+Sensitivity_GP_FE_Comms)*0</f>
        <v>0</v>
      </c>
      <c r="Y261" s="419">
        <f>(1+Sensitivity_GP_FE_Comms)*0</f>
        <v>0</v>
      </c>
      <c r="Z261" s="419">
        <f>(1+Sensitivity_GP_FE_Comms)*0</f>
        <v>0</v>
      </c>
      <c r="AA261" s="419">
        <f>(1+Sensitivity_GP_FE_Comms)*0</f>
        <v>0</v>
      </c>
      <c r="AB261" s="264"/>
      <c r="AC261" s="783" t="s">
        <v>154</v>
      </c>
      <c r="AD261" s="611"/>
      <c r="AE261" s="264"/>
      <c r="AF261" s="263"/>
      <c r="AG261" s="419">
        <f>(1+Sensitivity_GP_FE_Comms)*0</f>
        <v>0</v>
      </c>
      <c r="AH261" s="419">
        <f>(1+Sensitivity_GP_FE_Comms)*0</f>
        <v>0</v>
      </c>
      <c r="AI261" s="419">
        <f>(1+Sensitivity_GP_FE_Comms)*0</f>
        <v>0</v>
      </c>
      <c r="AJ261" s="419">
        <f>(1+Sensitivity_GP_FE_Comms)*0</f>
        <v>0</v>
      </c>
      <c r="AK261" s="419">
        <f>(1+Sensitivity_GP_FE_Comms)*0</f>
        <v>0</v>
      </c>
      <c r="AL261" s="419">
        <f>(1+Sensitivity_GP_FE_Comms)*0</f>
        <v>0</v>
      </c>
      <c r="AM261" s="419">
        <f>(1+Sensitivity_GP_FE_Comms)*0</f>
        <v>0</v>
      </c>
      <c r="AN261" s="419">
        <f>(1+Sensitivity_GP_FE_Comms)*0</f>
        <v>0</v>
      </c>
      <c r="AO261" s="419">
        <f>(1+Sensitivity_GP_FE_Comms)*0</f>
        <v>0</v>
      </c>
      <c r="AP261" s="264"/>
      <c r="AQ261" s="264"/>
      <c r="AR261" s="612"/>
      <c r="AS261" s="611"/>
      <c r="AT261" s="264"/>
      <c r="AU261" s="263"/>
      <c r="AV261" s="419">
        <f>(1+Sensitivity_GP_FE_Comms)*0</f>
        <v>0</v>
      </c>
      <c r="AW261" s="419">
        <f>(1+Sensitivity_GP_FE_Comms)*0</f>
        <v>0</v>
      </c>
      <c r="AX261" s="419">
        <f>(1+Sensitivity_GP_FE_Comms)*0</f>
        <v>0</v>
      </c>
      <c r="AY261" s="419">
        <f>(1+Sensitivity_GP_FE_Comms)*0</f>
        <v>0</v>
      </c>
      <c r="AZ261" s="419">
        <f>(1+Sensitivity_GP_FE_Comms)*0</f>
        <v>0</v>
      </c>
      <c r="BA261" s="419">
        <f>(1+Sensitivity_GP_FE_Comms)*0</f>
        <v>0</v>
      </c>
      <c r="BB261" s="419">
        <f>(1+Sensitivity_GP_FE_Comms)*0</f>
        <v>0</v>
      </c>
      <c r="BC261" s="419">
        <f>(1+Sensitivity_GP_FE_Comms)*0</f>
        <v>0</v>
      </c>
      <c r="BD261" s="419">
        <f>(1+Sensitivity_GP_FE_Comms)*0</f>
        <v>0</v>
      </c>
      <c r="BE261" s="264"/>
      <c r="BF261" s="783"/>
      <c r="BG261" s="611"/>
      <c r="BH261" s="374">
        <v>0</v>
      </c>
      <c r="BI261" s="263"/>
      <c r="BJ261" s="419">
        <f>(1+Sensitivity_GP_FE_Comms)*0</f>
        <v>0</v>
      </c>
      <c r="BK261" s="419">
        <f>(1+Sensitivity_GP_FE_Comms)*0</f>
        <v>0</v>
      </c>
      <c r="BL261" s="419">
        <f>(1+Sensitivity_GP_FE_Comms)*0</f>
        <v>0</v>
      </c>
      <c r="BM261" s="419">
        <f>(1+Sensitivity_GP_FE_Comms)*0</f>
        <v>0</v>
      </c>
      <c r="BN261" s="419">
        <f>(1+Sensitivity_GP_FE_Comms)*0</f>
        <v>0</v>
      </c>
      <c r="BO261" s="419">
        <f>(1+Sensitivity_GP_FE_Comms)*0</f>
        <v>0</v>
      </c>
      <c r="BP261" s="419">
        <f>(1+Sensitivity_GP_FE_Comms)*0</f>
        <v>0</v>
      </c>
      <c r="BQ261" s="419">
        <f>(1+Sensitivity_GP_FE_Comms)*0</f>
        <v>0</v>
      </c>
      <c r="BR261" s="419">
        <f>(1+Sensitivity_GP_FE_Comms)*0</f>
        <v>0</v>
      </c>
      <c r="BS261" s="263"/>
    </row>
    <row r="262" spans="1:81" ht="24" customHeight="1" outlineLevel="1" x14ac:dyDescent="0.2">
      <c r="A262" s="312"/>
      <c r="B262" s="546" t="s">
        <v>108</v>
      </c>
      <c r="C262" s="547" t="s">
        <v>162</v>
      </c>
      <c r="D262" s="528" t="s">
        <v>111</v>
      </c>
      <c r="E262" s="529" t="s">
        <v>143</v>
      </c>
      <c r="F262" s="460" t="s">
        <v>49</v>
      </c>
      <c r="G262" s="531" t="s">
        <v>47</v>
      </c>
      <c r="H262" s="530" t="s">
        <v>120</v>
      </c>
      <c r="I262" s="782"/>
      <c r="J262" s="453"/>
      <c r="K262" s="611"/>
      <c r="L262" s="611"/>
      <c r="M262" s="611"/>
      <c r="N262" s="264"/>
      <c r="O262" s="784"/>
      <c r="P262" s="264"/>
      <c r="Q262" s="264"/>
      <c r="R262" s="264"/>
      <c r="S262" s="374">
        <v>0.2</v>
      </c>
      <c r="T262" s="374">
        <v>0.2</v>
      </c>
      <c r="U262" s="374">
        <v>0.2</v>
      </c>
      <c r="V262" s="374">
        <v>0.2</v>
      </c>
      <c r="W262" s="374">
        <v>0.2</v>
      </c>
      <c r="X262" s="374">
        <v>0.2</v>
      </c>
      <c r="Y262" s="374">
        <v>0.2</v>
      </c>
      <c r="Z262" s="374">
        <v>0.2</v>
      </c>
      <c r="AA262" s="374">
        <v>0.2</v>
      </c>
      <c r="AB262" s="264"/>
      <c r="AC262" s="784"/>
      <c r="AD262" s="611"/>
      <c r="AE262" s="264"/>
      <c r="AF262" s="263"/>
      <c r="AG262" s="374">
        <v>0.2</v>
      </c>
      <c r="AH262" s="374">
        <v>0.2</v>
      </c>
      <c r="AI262" s="374">
        <v>0.2</v>
      </c>
      <c r="AJ262" s="374">
        <v>0.2</v>
      </c>
      <c r="AK262" s="374">
        <v>0.2</v>
      </c>
      <c r="AL262" s="374">
        <v>0.2</v>
      </c>
      <c r="AM262" s="374">
        <v>0.2</v>
      </c>
      <c r="AN262" s="374">
        <v>0.2</v>
      </c>
      <c r="AO262" s="374">
        <v>0.2</v>
      </c>
      <c r="AP262" s="264"/>
      <c r="AQ262" s="264"/>
      <c r="AR262" s="612"/>
      <c r="AS262" s="611"/>
      <c r="AT262" s="264"/>
      <c r="AU262" s="263"/>
      <c r="AV262" s="374">
        <v>0.2</v>
      </c>
      <c r="AW262" s="374">
        <v>0.2</v>
      </c>
      <c r="AX262" s="374">
        <v>0.2</v>
      </c>
      <c r="AY262" s="374">
        <v>0.2</v>
      </c>
      <c r="AZ262" s="374">
        <v>0.2</v>
      </c>
      <c r="BA262" s="374">
        <v>0.2</v>
      </c>
      <c r="BB262" s="374">
        <v>0.2</v>
      </c>
      <c r="BC262" s="374">
        <v>0.2</v>
      </c>
      <c r="BD262" s="374">
        <v>0.2</v>
      </c>
      <c r="BE262" s="264"/>
      <c r="BF262" s="784"/>
      <c r="BG262" s="611"/>
      <c r="BH262" s="264"/>
      <c r="BI262" s="263"/>
      <c r="BJ262" s="374">
        <v>0.2</v>
      </c>
      <c r="BK262" s="374">
        <v>0.2</v>
      </c>
      <c r="BL262" s="374">
        <v>0.2</v>
      </c>
      <c r="BM262" s="374">
        <v>0.2</v>
      </c>
      <c r="BN262" s="374">
        <v>0.2</v>
      </c>
      <c r="BO262" s="374">
        <v>0.2</v>
      </c>
      <c r="BP262" s="374">
        <v>0.2</v>
      </c>
      <c r="BQ262" s="374">
        <v>0.2</v>
      </c>
      <c r="BR262" s="374">
        <v>0.2</v>
      </c>
      <c r="BS262" s="263"/>
    </row>
    <row r="263" spans="1:81" ht="24" customHeight="1" outlineLevel="1" x14ac:dyDescent="0.2">
      <c r="A263" s="312"/>
      <c r="B263" s="437" t="s">
        <v>108</v>
      </c>
      <c r="C263" s="171" t="s">
        <v>160</v>
      </c>
      <c r="D263" s="562" t="s">
        <v>111</v>
      </c>
      <c r="E263" s="563" t="s">
        <v>148</v>
      </c>
      <c r="F263" s="433" t="s">
        <v>61</v>
      </c>
      <c r="G263" s="562" t="s">
        <v>50</v>
      </c>
      <c r="H263" s="564" t="s">
        <v>152</v>
      </c>
      <c r="I263" s="789" t="s">
        <v>507</v>
      </c>
      <c r="J263" s="453"/>
      <c r="K263" s="467"/>
      <c r="L263" s="467"/>
      <c r="M263" s="467"/>
      <c r="N263" s="264"/>
      <c r="O263" s="519" t="s">
        <v>224</v>
      </c>
      <c r="P263" s="264"/>
      <c r="Q263" s="374">
        <v>0.5</v>
      </c>
      <c r="R263" s="264"/>
      <c r="S263" s="419">
        <f>(1+Sensitivity_GP_FE_Comms)*(FE_Standard_Sys_Effort*(1+PM_Overhead)*$Q263)</f>
        <v>33</v>
      </c>
      <c r="T263" s="419">
        <f>(1+Sensitivity_GP_FE_Comms)*(FE_Standard_Sys_Effort*(1+PM_Overhead)*$Q263)</f>
        <v>33</v>
      </c>
      <c r="U263" s="419">
        <f>(1+Sensitivity_GP_FE_Comms)*(FE_Standard_Sys_Effort*(1+PM_Overhead)*$Q263)</f>
        <v>33</v>
      </c>
      <c r="V263" s="419">
        <f>(1+Sensitivity_GP_FE_Comms)*(FE_Standard_Sys_Effort*(1+PM_Overhead)*$Q263)</f>
        <v>33</v>
      </c>
      <c r="W263" s="419">
        <f>(1+Sensitivity_GP_FE_Comms)*0</f>
        <v>0</v>
      </c>
      <c r="X263" s="419">
        <f>(1+Sensitivity_GP_FE_Comms)*0</f>
        <v>0</v>
      </c>
      <c r="Y263" s="419">
        <f>(1+Sensitivity_GP_FE_Comms)*(FE_Standard_Sys_Effort*(1+PM_Overhead)*$Q263)*TierC_TierB_ratio</f>
        <v>16.5</v>
      </c>
      <c r="Z263" s="419">
        <f>(1+Sensitivity_GP_FE_Comms)*0</f>
        <v>0</v>
      </c>
      <c r="AA263" s="419">
        <f>Y263</f>
        <v>16.5</v>
      </c>
      <c r="AB263" s="264"/>
      <c r="AC263" s="519" t="s">
        <v>224</v>
      </c>
      <c r="AD263" s="467"/>
      <c r="AE263" s="374">
        <v>0.5</v>
      </c>
      <c r="AF263" s="263"/>
      <c r="AG263" s="419">
        <f>(1+Sensitivity_GP_FE_Comms)*(FE_Standard_Sys_Effort*(1+PM_Overhead)*$AE263)</f>
        <v>33</v>
      </c>
      <c r="AH263" s="419">
        <f>(1+Sensitivity_GP_FE_Comms)*(FE_Standard_Sys_Effort*(1+PM_Overhead)*$AE263)</f>
        <v>33</v>
      </c>
      <c r="AI263" s="419">
        <f>(1+Sensitivity_GP_FE_Comms)*(FE_Standard_Sys_Effort*(1+PM_Overhead)*$AE263)</f>
        <v>33</v>
      </c>
      <c r="AJ263" s="419">
        <f>(1+Sensitivity_GP_FE_Comms)*(FE_Standard_Sys_Effort*(1+PM_Overhead)*$AE263)</f>
        <v>33</v>
      </c>
      <c r="AK263" s="419">
        <f>(1+Sensitivity_GP_FE_Comms)*0</f>
        <v>0</v>
      </c>
      <c r="AL263" s="419">
        <f>(1+Sensitivity_GP_FE_Comms)*0</f>
        <v>0</v>
      </c>
      <c r="AM263" s="419">
        <f>(1+Sensitivity_GP_FE_Comms)*(FE_Standard_Sys_Effort*(1+PM_Overhead)*$AE263)*TierC_TierB_ratio</f>
        <v>16.5</v>
      </c>
      <c r="AN263" s="419">
        <f>(1+Sensitivity_GP_FE_Comms)*0</f>
        <v>0</v>
      </c>
      <c r="AO263" s="419">
        <f>AM263</f>
        <v>16.5</v>
      </c>
      <c r="AP263" s="264"/>
      <c r="AQ263" s="264"/>
      <c r="AR263" s="613" t="s">
        <v>224</v>
      </c>
      <c r="AS263" s="467"/>
      <c r="AT263" s="374">
        <v>0.5</v>
      </c>
      <c r="AU263" s="263"/>
      <c r="AV263" s="419">
        <f>(1+Sensitivity_GP_FE_Comms)*(FE_Standard_Sys_Effort*(1+PM_Overhead)*$AT263)</f>
        <v>33</v>
      </c>
      <c r="AW263" s="419">
        <f>(1+Sensitivity_GP_FE_Comms)*(FE_Standard_Sys_Effort*(1+PM_Overhead)*$AT263)</f>
        <v>33</v>
      </c>
      <c r="AX263" s="419">
        <f>(1+Sensitivity_GP_FE_Comms)*(FE_Standard_Sys_Effort*(1+PM_Overhead)*$AT263)</f>
        <v>33</v>
      </c>
      <c r="AY263" s="419">
        <f>(1+Sensitivity_GP_FE_Comms)*(FE_Standard_Sys_Effort*(1+PM_Overhead)*$AT263)</f>
        <v>33</v>
      </c>
      <c r="AZ263" s="419">
        <f>(1+Sensitivity_GP_FE_Comms)*0</f>
        <v>0</v>
      </c>
      <c r="BA263" s="419">
        <f>(1+Sensitivity_GP_FE_Comms)*0</f>
        <v>0</v>
      </c>
      <c r="BB263" s="419">
        <f>(1+Sensitivity_GP_FE_Comms)*(FE_Standard_Sys_Effort*(1+PM_Overhead)*$AT263)*TierC_TierB_ratio</f>
        <v>16.5</v>
      </c>
      <c r="BC263" s="419">
        <f>(1+Sensitivity_GP_FE_Comms)*0</f>
        <v>0</v>
      </c>
      <c r="BD263" s="419">
        <f>BB263</f>
        <v>16.5</v>
      </c>
      <c r="BE263" s="264"/>
      <c r="BF263" s="519" t="s">
        <v>224</v>
      </c>
      <c r="BG263" s="467"/>
      <c r="BH263" s="374">
        <v>0.5</v>
      </c>
      <c r="BI263" s="263"/>
      <c r="BJ263" s="419">
        <f>(1+Sensitivity_GP_FE_Comms)*(FE_Standard_Sys_Effort*(1+PM_Overhead)*$BH263)</f>
        <v>33</v>
      </c>
      <c r="BK263" s="419">
        <f>(1+Sensitivity_GP_FE_Comms)*(FE_Standard_Sys_Effort*(1+PM_Overhead)*$BH263)</f>
        <v>33</v>
      </c>
      <c r="BL263" s="419">
        <f>(1+Sensitivity_GP_FE_Comms)*(FE_Standard_Sys_Effort*(1+PM_Overhead)*$BH263)</f>
        <v>33</v>
      </c>
      <c r="BM263" s="419">
        <f>(1+Sensitivity_GP_FE_Comms)*(FE_Standard_Sys_Effort*(1+PM_Overhead)*$BH263)</f>
        <v>33</v>
      </c>
      <c r="BN263" s="419">
        <f>(1+Sensitivity_GP_FE_Comms)*0</f>
        <v>0</v>
      </c>
      <c r="BO263" s="419">
        <f>(1+Sensitivity_GP_FE_Comms)*0</f>
        <v>0</v>
      </c>
      <c r="BP263" s="419">
        <f>(1+Sensitivity_GP_FE_Comms)*(FE_Standard_Sys_Effort*(1+PM_Overhead)*$BH263)*TierC_TierB_ratio</f>
        <v>16.5</v>
      </c>
      <c r="BQ263" s="419">
        <f>(1+Sensitivity_GP_FE_Comms)*0</f>
        <v>0</v>
      </c>
      <c r="BR263" s="419">
        <f>BP263</f>
        <v>16.5</v>
      </c>
      <c r="BS263" s="263"/>
    </row>
    <row r="264" spans="1:81" ht="24" customHeight="1" outlineLevel="1" x14ac:dyDescent="0.2">
      <c r="A264" s="312"/>
      <c r="B264" s="437" t="s">
        <v>108</v>
      </c>
      <c r="C264" s="171" t="s">
        <v>160</v>
      </c>
      <c r="D264" s="562" t="s">
        <v>111</v>
      </c>
      <c r="E264" s="563" t="s">
        <v>148</v>
      </c>
      <c r="F264" s="433" t="s">
        <v>30</v>
      </c>
      <c r="G264" s="563" t="s">
        <v>50</v>
      </c>
      <c r="H264" s="564" t="s">
        <v>119</v>
      </c>
      <c r="I264" s="789"/>
      <c r="J264" s="453"/>
      <c r="K264" s="467"/>
      <c r="L264" s="467"/>
      <c r="M264" s="467"/>
      <c r="N264" s="264"/>
      <c r="O264" s="422"/>
      <c r="P264" s="264"/>
      <c r="Q264" s="374">
        <v>0</v>
      </c>
      <c r="R264" s="264"/>
      <c r="S264" s="419">
        <f>(1+Sensitivity_GP_FE_Comms)*0</f>
        <v>0</v>
      </c>
      <c r="T264" s="419">
        <f>(1+Sensitivity_GP_FE_Comms)*0</f>
        <v>0</v>
      </c>
      <c r="U264" s="419">
        <f>(1+Sensitivity_GP_FE_Comms)*0</f>
        <v>0</v>
      </c>
      <c r="V264" s="419">
        <f>(1+Sensitivity_GP_FE_Comms)*0</f>
        <v>0</v>
      </c>
      <c r="W264" s="419">
        <f>(1+Sensitivity_GP_FE_Comms)*0</f>
        <v>0</v>
      </c>
      <c r="X264" s="419">
        <f>(1+Sensitivity_GP_FE_Comms)*0</f>
        <v>0</v>
      </c>
      <c r="Y264" s="419">
        <f>(1+Sensitivity_GP_FE_Comms)*0</f>
        <v>0</v>
      </c>
      <c r="Z264" s="419">
        <f>(1+Sensitivity_GP_FE_Comms)*0</f>
        <v>0</v>
      </c>
      <c r="AA264" s="419">
        <f>(1+Sensitivity_GP_FE_Comms)*0</f>
        <v>0</v>
      </c>
      <c r="AB264" s="264"/>
      <c r="AC264" s="422"/>
      <c r="AD264" s="467"/>
      <c r="AE264" s="264"/>
      <c r="AF264" s="263"/>
      <c r="AG264" s="419">
        <f>(1+Sensitivity_GP_FE_Comms)*0</f>
        <v>0</v>
      </c>
      <c r="AH264" s="419">
        <f>(1+Sensitivity_GP_FE_Comms)*0</f>
        <v>0</v>
      </c>
      <c r="AI264" s="419">
        <f>(1+Sensitivity_GP_FE_Comms)*0</f>
        <v>0</v>
      </c>
      <c r="AJ264" s="419">
        <f>(1+Sensitivity_GP_FE_Comms)*0</f>
        <v>0</v>
      </c>
      <c r="AK264" s="419">
        <f>(1+Sensitivity_GP_FE_Comms)*0</f>
        <v>0</v>
      </c>
      <c r="AL264" s="419">
        <f>(1+Sensitivity_GP_FE_Comms)*0</f>
        <v>0</v>
      </c>
      <c r="AM264" s="419">
        <f>(1+Sensitivity_GP_FE_Comms)*0</f>
        <v>0</v>
      </c>
      <c r="AN264" s="419">
        <f>(1+Sensitivity_GP_FE_Comms)*0</f>
        <v>0</v>
      </c>
      <c r="AO264" s="419">
        <f>(1+Sensitivity_GP_FE_Comms)*0</f>
        <v>0</v>
      </c>
      <c r="AP264" s="264"/>
      <c r="AQ264" s="264"/>
      <c r="AR264" s="422"/>
      <c r="AS264" s="467"/>
      <c r="AT264" s="264"/>
      <c r="AU264" s="263"/>
      <c r="AV264" s="419">
        <f>(1+Sensitivity_GP_FE_Comms)*0</f>
        <v>0</v>
      </c>
      <c r="AW264" s="419">
        <f>(1+Sensitivity_GP_FE_Comms)*0</f>
        <v>0</v>
      </c>
      <c r="AX264" s="419">
        <f>(1+Sensitivity_GP_FE_Comms)*0</f>
        <v>0</v>
      </c>
      <c r="AY264" s="419">
        <f>(1+Sensitivity_GP_FE_Comms)*0</f>
        <v>0</v>
      </c>
      <c r="AZ264" s="419">
        <f>(1+Sensitivity_GP_FE_Comms)*0</f>
        <v>0</v>
      </c>
      <c r="BA264" s="419">
        <f>(1+Sensitivity_GP_FE_Comms)*0</f>
        <v>0</v>
      </c>
      <c r="BB264" s="419">
        <f>(1+Sensitivity_GP_FE_Comms)*0</f>
        <v>0</v>
      </c>
      <c r="BC264" s="419">
        <f>(1+Sensitivity_GP_FE_Comms)*0</f>
        <v>0</v>
      </c>
      <c r="BD264" s="419">
        <f>(1+Sensitivity_GP_FE_Comms)*0</f>
        <v>0</v>
      </c>
      <c r="BE264" s="264"/>
      <c r="BF264" s="422"/>
      <c r="BG264" s="467"/>
      <c r="BH264" s="374">
        <v>0</v>
      </c>
      <c r="BI264" s="263"/>
      <c r="BJ264" s="419">
        <f>(1+Sensitivity_GP_FE_Comms)*0</f>
        <v>0</v>
      </c>
      <c r="BK264" s="419">
        <f>(1+Sensitivity_GP_FE_Comms)*0</f>
        <v>0</v>
      </c>
      <c r="BL264" s="419">
        <f>(1+Sensitivity_GP_FE_Comms)*0</f>
        <v>0</v>
      </c>
      <c r="BM264" s="419">
        <f>(1+Sensitivity_GP_FE_Comms)*0</f>
        <v>0</v>
      </c>
      <c r="BN264" s="419">
        <f>(1+Sensitivity_GP_FE_Comms)*0</f>
        <v>0</v>
      </c>
      <c r="BO264" s="419">
        <f>(1+Sensitivity_GP_FE_Comms)*0</f>
        <v>0</v>
      </c>
      <c r="BP264" s="419">
        <f>(1+Sensitivity_GP_FE_Comms)*0</f>
        <v>0</v>
      </c>
      <c r="BQ264" s="419">
        <f>(1+Sensitivity_GP_FE_Comms)*0</f>
        <v>0</v>
      </c>
      <c r="BR264" s="419">
        <f>(1+Sensitivity_GP_FE_Comms)*0</f>
        <v>0</v>
      </c>
      <c r="BS264" s="263"/>
    </row>
    <row r="265" spans="1:81" ht="24" customHeight="1" outlineLevel="1" x14ac:dyDescent="0.2">
      <c r="A265" s="312"/>
      <c r="B265" s="437" t="s">
        <v>108</v>
      </c>
      <c r="C265" s="171" t="s">
        <v>160</v>
      </c>
      <c r="D265" s="562" t="s">
        <v>111</v>
      </c>
      <c r="E265" s="563" t="s">
        <v>148</v>
      </c>
      <c r="F265" s="475" t="s">
        <v>49</v>
      </c>
      <c r="G265" s="563" t="s">
        <v>47</v>
      </c>
      <c r="H265" s="564" t="s">
        <v>120</v>
      </c>
      <c r="I265" s="789"/>
      <c r="J265" s="453"/>
      <c r="K265" s="467"/>
      <c r="L265" s="467"/>
      <c r="M265" s="467"/>
      <c r="N265" s="264"/>
      <c r="O265" s="422"/>
      <c r="P265" s="264"/>
      <c r="Q265" s="264"/>
      <c r="R265" s="264"/>
      <c r="S265" s="374">
        <v>0.2</v>
      </c>
      <c r="T265" s="374">
        <v>0.2</v>
      </c>
      <c r="U265" s="374">
        <v>0.2</v>
      </c>
      <c r="V265" s="374">
        <v>0.2</v>
      </c>
      <c r="W265" s="374">
        <v>0.2</v>
      </c>
      <c r="X265" s="374">
        <v>0.2</v>
      </c>
      <c r="Y265" s="374">
        <v>0.2</v>
      </c>
      <c r="Z265" s="374">
        <v>0.2</v>
      </c>
      <c r="AA265" s="374">
        <v>0.2</v>
      </c>
      <c r="AB265" s="264"/>
      <c r="AC265" s="422"/>
      <c r="AD265" s="467"/>
      <c r="AE265" s="264"/>
      <c r="AF265" s="263"/>
      <c r="AG265" s="374">
        <v>0.2</v>
      </c>
      <c r="AH265" s="374">
        <v>0.2</v>
      </c>
      <c r="AI265" s="374">
        <v>0.2</v>
      </c>
      <c r="AJ265" s="374">
        <v>0.2</v>
      </c>
      <c r="AK265" s="374">
        <v>0.2</v>
      </c>
      <c r="AL265" s="374">
        <v>0.2</v>
      </c>
      <c r="AM265" s="374">
        <v>0.2</v>
      </c>
      <c r="AN265" s="374">
        <v>0.2</v>
      </c>
      <c r="AO265" s="374">
        <v>0.2</v>
      </c>
      <c r="AP265" s="264"/>
      <c r="AQ265" s="264"/>
      <c r="AR265" s="422"/>
      <c r="AS265" s="467"/>
      <c r="AT265" s="264"/>
      <c r="AU265" s="263"/>
      <c r="AV265" s="374">
        <v>0.2</v>
      </c>
      <c r="AW265" s="374">
        <v>0.2</v>
      </c>
      <c r="AX265" s="374">
        <v>0.2</v>
      </c>
      <c r="AY265" s="374">
        <v>0.2</v>
      </c>
      <c r="AZ265" s="374">
        <v>0.2</v>
      </c>
      <c r="BA265" s="374">
        <v>0.2</v>
      </c>
      <c r="BB265" s="374">
        <v>0.2</v>
      </c>
      <c r="BC265" s="374">
        <v>0.2</v>
      </c>
      <c r="BD265" s="374">
        <v>0.2</v>
      </c>
      <c r="BE265" s="264"/>
      <c r="BF265" s="422"/>
      <c r="BG265" s="467"/>
      <c r="BH265" s="264"/>
      <c r="BI265" s="263"/>
      <c r="BJ265" s="374">
        <v>0.2</v>
      </c>
      <c r="BK265" s="374">
        <v>0.2</v>
      </c>
      <c r="BL265" s="374">
        <v>0.2</v>
      </c>
      <c r="BM265" s="374">
        <v>0.2</v>
      </c>
      <c r="BN265" s="374">
        <v>0.2</v>
      </c>
      <c r="BO265" s="374">
        <v>0.2</v>
      </c>
      <c r="BP265" s="374">
        <v>0.2</v>
      </c>
      <c r="BQ265" s="374">
        <v>0.2</v>
      </c>
      <c r="BR265" s="374">
        <v>0.2</v>
      </c>
      <c r="BS265" s="263"/>
    </row>
    <row r="266" spans="1:81" ht="24" customHeight="1" outlineLevel="1" x14ac:dyDescent="0.2">
      <c r="A266" s="312"/>
      <c r="B266" s="264"/>
      <c r="C266" s="264"/>
      <c r="D266" s="264"/>
      <c r="E266" s="264"/>
      <c r="F266" s="264"/>
      <c r="G266" s="614"/>
      <c r="H266" s="484" t="s">
        <v>204</v>
      </c>
      <c r="I266" s="508"/>
      <c r="J266" s="264"/>
      <c r="K266" s="263"/>
      <c r="L266" s="263"/>
      <c r="M266" s="263"/>
      <c r="N266" s="264"/>
      <c r="O266" s="264"/>
      <c r="P266" s="264"/>
      <c r="Q266" s="602">
        <f>SUMIF($H$257:$H$265,$H$257,Q$257:Q$265)</f>
        <v>1</v>
      </c>
      <c r="R266" s="264"/>
      <c r="S266" s="615">
        <f>SUMIF($H$257:$H$265,$H$257,S$257:S$265)</f>
        <v>66</v>
      </c>
      <c r="T266" s="615">
        <f t="shared" ref="T266:AA266" si="247">SUMIF($H$257:$H$265,$H$257,T$257:T$265)</f>
        <v>66</v>
      </c>
      <c r="U266" s="615">
        <f t="shared" si="247"/>
        <v>66</v>
      </c>
      <c r="V266" s="615">
        <f t="shared" si="247"/>
        <v>66</v>
      </c>
      <c r="W266" s="615">
        <f t="shared" si="247"/>
        <v>0</v>
      </c>
      <c r="X266" s="615">
        <f t="shared" si="247"/>
        <v>0</v>
      </c>
      <c r="Y266" s="615">
        <f t="shared" si="247"/>
        <v>33</v>
      </c>
      <c r="Z266" s="615">
        <f t="shared" si="247"/>
        <v>0</v>
      </c>
      <c r="AA266" s="615">
        <f t="shared" si="247"/>
        <v>33</v>
      </c>
      <c r="AB266" s="264"/>
      <c r="AC266" s="264"/>
      <c r="AD266" s="264"/>
      <c r="AE266" s="602">
        <f>SUMIF($H$257:$H$265,$H$257,AE$257:AE$265)</f>
        <v>1</v>
      </c>
      <c r="AF266" s="264"/>
      <c r="AG266" s="615">
        <f>SUMIF($H$257:$H$265,$H$257,AG$257:AG$265)</f>
        <v>66</v>
      </c>
      <c r="AH266" s="615">
        <f t="shared" ref="AH266:AO266" si="248">SUMIF($H$257:$H$265,$H$257,AH$257:AH$265)</f>
        <v>66</v>
      </c>
      <c r="AI266" s="615">
        <f t="shared" si="248"/>
        <v>66</v>
      </c>
      <c r="AJ266" s="615">
        <f t="shared" si="248"/>
        <v>66</v>
      </c>
      <c r="AK266" s="615">
        <f t="shared" si="248"/>
        <v>0</v>
      </c>
      <c r="AL266" s="615">
        <f t="shared" si="248"/>
        <v>0</v>
      </c>
      <c r="AM266" s="615">
        <f t="shared" si="248"/>
        <v>33</v>
      </c>
      <c r="AN266" s="615">
        <f t="shared" si="248"/>
        <v>0</v>
      </c>
      <c r="AO266" s="615">
        <f t="shared" si="248"/>
        <v>33</v>
      </c>
      <c r="AP266" s="264"/>
      <c r="AQ266" s="264"/>
      <c r="AR266" s="264"/>
      <c r="AS266" s="264"/>
      <c r="AT266" s="602">
        <f>SUMIF($H$257:$H$265,$H$257,AT$257:AT$265)</f>
        <v>1</v>
      </c>
      <c r="AU266" s="264"/>
      <c r="AV266" s="615">
        <f>SUMIF($H$257:$H$265,$H$257,AV$257:AV$265)</f>
        <v>66</v>
      </c>
      <c r="AW266" s="615">
        <f t="shared" ref="AW266:BD266" si="249">SUMIF($H$257:$H$265,$H$257,AW$257:AW$265)</f>
        <v>66</v>
      </c>
      <c r="AX266" s="615">
        <f t="shared" si="249"/>
        <v>66</v>
      </c>
      <c r="AY266" s="615">
        <f t="shared" si="249"/>
        <v>66</v>
      </c>
      <c r="AZ266" s="615">
        <f t="shared" si="249"/>
        <v>0</v>
      </c>
      <c r="BA266" s="615">
        <f t="shared" si="249"/>
        <v>0</v>
      </c>
      <c r="BB266" s="615">
        <f t="shared" si="249"/>
        <v>33</v>
      </c>
      <c r="BC266" s="615">
        <f t="shared" si="249"/>
        <v>0</v>
      </c>
      <c r="BD266" s="615">
        <f t="shared" si="249"/>
        <v>33</v>
      </c>
      <c r="BE266" s="264"/>
      <c r="BF266" s="264"/>
      <c r="BG266" s="264"/>
      <c r="BH266" s="602">
        <f>SUMIF($H$257:$H$265,$H$257,BH$257:BH$265)</f>
        <v>1</v>
      </c>
      <c r="BI266" s="264"/>
      <c r="BJ266" s="615">
        <f>SUMIF($H$257:$H$265,$H$257,BJ$257:BJ$265)</f>
        <v>66</v>
      </c>
      <c r="BK266" s="615">
        <f t="shared" ref="BK266:BR266" si="250">SUMIF($H$257:$H$265,$H$257,BK$257:BK$265)</f>
        <v>66</v>
      </c>
      <c r="BL266" s="615">
        <f t="shared" si="250"/>
        <v>66</v>
      </c>
      <c r="BM266" s="615">
        <f t="shared" si="250"/>
        <v>66</v>
      </c>
      <c r="BN266" s="615">
        <f t="shared" si="250"/>
        <v>0</v>
      </c>
      <c r="BO266" s="615">
        <f t="shared" si="250"/>
        <v>0</v>
      </c>
      <c r="BP266" s="615">
        <f t="shared" si="250"/>
        <v>33</v>
      </c>
      <c r="BQ266" s="615">
        <f t="shared" si="250"/>
        <v>0</v>
      </c>
      <c r="BR266" s="615">
        <f t="shared" si="250"/>
        <v>33</v>
      </c>
      <c r="BS266" s="263"/>
    </row>
    <row r="267" spans="1:81" s="267" customFormat="1" ht="24" customHeight="1" outlineLevel="1" x14ac:dyDescent="0.2">
      <c r="A267" s="312"/>
      <c r="B267" s="264"/>
      <c r="C267" s="264"/>
      <c r="D267" s="264"/>
      <c r="E267" s="264"/>
      <c r="F267" s="264"/>
      <c r="G267" s="614"/>
      <c r="H267" s="484" t="s">
        <v>434</v>
      </c>
      <c r="I267" s="508"/>
      <c r="J267" s="264"/>
      <c r="K267" s="263"/>
      <c r="L267" s="263"/>
      <c r="M267" s="263"/>
      <c r="N267" s="264"/>
      <c r="O267" s="264"/>
      <c r="P267" s="264"/>
      <c r="Q267" s="602">
        <f>SUMIF($H$257:$H$265,$H$258,Q$257:Q$265)</f>
        <v>0</v>
      </c>
      <c r="R267" s="264"/>
      <c r="S267" s="615">
        <f>SUMIF($H$257:$H$265,$H$258,S$257:S$265)</f>
        <v>0</v>
      </c>
      <c r="T267" s="615">
        <f t="shared" ref="T267:AA267" si="251">SUMIF($H$257:$H$265,$H$258,T$257:T$265)</f>
        <v>0</v>
      </c>
      <c r="U267" s="615">
        <f t="shared" si="251"/>
        <v>0</v>
      </c>
      <c r="V267" s="615">
        <f t="shared" si="251"/>
        <v>0</v>
      </c>
      <c r="W267" s="615">
        <f t="shared" si="251"/>
        <v>0</v>
      </c>
      <c r="X267" s="615">
        <f t="shared" si="251"/>
        <v>0</v>
      </c>
      <c r="Y267" s="615">
        <f t="shared" si="251"/>
        <v>0</v>
      </c>
      <c r="Z267" s="615">
        <f t="shared" si="251"/>
        <v>0</v>
      </c>
      <c r="AA267" s="615">
        <f t="shared" si="251"/>
        <v>0</v>
      </c>
      <c r="AB267" s="264"/>
      <c r="AC267" s="264"/>
      <c r="AD267" s="264"/>
      <c r="AE267" s="602">
        <f>SUMIF($H$257:$H$265,$H$258,AE$257:AE$265)</f>
        <v>0</v>
      </c>
      <c r="AF267" s="264"/>
      <c r="AG267" s="615">
        <f>SUMIF($H$257:$H$265,$H$258,AG$257:AG$265)</f>
        <v>0</v>
      </c>
      <c r="AH267" s="615">
        <f t="shared" ref="AH267:AO267" si="252">SUMIF($H$257:$H$265,$H$258,AH$257:AH$265)</f>
        <v>0</v>
      </c>
      <c r="AI267" s="615">
        <f t="shared" si="252"/>
        <v>0</v>
      </c>
      <c r="AJ267" s="615">
        <f t="shared" si="252"/>
        <v>0</v>
      </c>
      <c r="AK267" s="615">
        <f t="shared" si="252"/>
        <v>0</v>
      </c>
      <c r="AL267" s="615">
        <f t="shared" si="252"/>
        <v>0</v>
      </c>
      <c r="AM267" s="615">
        <f t="shared" si="252"/>
        <v>0</v>
      </c>
      <c r="AN267" s="615">
        <f t="shared" si="252"/>
        <v>0</v>
      </c>
      <c r="AO267" s="615">
        <f t="shared" si="252"/>
        <v>0</v>
      </c>
      <c r="AP267" s="264"/>
      <c r="AQ267" s="264"/>
      <c r="AR267" s="264"/>
      <c r="AS267" s="264"/>
      <c r="AT267" s="602">
        <f>SUMIF($H$257:$H$265,$H$258,AT$257:AT$265)</f>
        <v>0</v>
      </c>
      <c r="AU267" s="264"/>
      <c r="AV267" s="615">
        <f>SUMIF($H$257:$H$265,$H$258,AV$257:AV$265)</f>
        <v>0</v>
      </c>
      <c r="AW267" s="615">
        <f t="shared" ref="AW267:BD267" si="253">SUMIF($H$257:$H$265,$H$258,AW$257:AW$265)</f>
        <v>0</v>
      </c>
      <c r="AX267" s="615">
        <f t="shared" si="253"/>
        <v>0</v>
      </c>
      <c r="AY267" s="615">
        <f t="shared" si="253"/>
        <v>0</v>
      </c>
      <c r="AZ267" s="615">
        <f t="shared" si="253"/>
        <v>0</v>
      </c>
      <c r="BA267" s="615">
        <f t="shared" si="253"/>
        <v>0</v>
      </c>
      <c r="BB267" s="615">
        <f t="shared" si="253"/>
        <v>0</v>
      </c>
      <c r="BC267" s="615">
        <f t="shared" si="253"/>
        <v>0</v>
      </c>
      <c r="BD267" s="615">
        <f t="shared" si="253"/>
        <v>0</v>
      </c>
      <c r="BE267" s="264"/>
      <c r="BF267" s="264"/>
      <c r="BG267" s="264"/>
      <c r="BH267" s="602">
        <f>SUMIF($H$257:$H$265,$H$258,BH$257:BH$265)</f>
        <v>0</v>
      </c>
      <c r="BI267" s="264"/>
      <c r="BJ267" s="615">
        <f>SUMIF($H$257:$H$265,$H$258,BJ$257:BJ$265)</f>
        <v>0</v>
      </c>
      <c r="BK267" s="615">
        <f t="shared" ref="BK267:BR267" si="254">SUMIF($H$257:$H$265,$H$258,BK$257:BK$265)</f>
        <v>0</v>
      </c>
      <c r="BL267" s="615">
        <f t="shared" si="254"/>
        <v>0</v>
      </c>
      <c r="BM267" s="615">
        <f t="shared" si="254"/>
        <v>0</v>
      </c>
      <c r="BN267" s="615">
        <f t="shared" si="254"/>
        <v>0</v>
      </c>
      <c r="BO267" s="615">
        <f t="shared" si="254"/>
        <v>0</v>
      </c>
      <c r="BP267" s="615">
        <f t="shared" si="254"/>
        <v>0</v>
      </c>
      <c r="BQ267" s="615">
        <f t="shared" si="254"/>
        <v>0</v>
      </c>
      <c r="BR267" s="615">
        <f t="shared" si="254"/>
        <v>0</v>
      </c>
      <c r="BS267" s="263"/>
    </row>
    <row r="268" spans="1:81" ht="24" customHeight="1" x14ac:dyDescent="0.2">
      <c r="A268" s="312"/>
      <c r="B268" s="264"/>
      <c r="C268" s="264"/>
      <c r="D268" s="264"/>
      <c r="E268" s="264"/>
      <c r="F268" s="264"/>
      <c r="G268" s="614"/>
      <c r="H268" s="264"/>
      <c r="I268" s="508"/>
      <c r="J268" s="264"/>
      <c r="K268" s="263"/>
      <c r="L268" s="263"/>
      <c r="M268" s="263"/>
      <c r="N268" s="264"/>
      <c r="O268" s="264"/>
      <c r="P268" s="264"/>
      <c r="Q268" s="264"/>
      <c r="R268" s="264"/>
      <c r="S268" s="591"/>
      <c r="T268" s="591"/>
      <c r="U268" s="591"/>
      <c r="V268" s="591"/>
      <c r="W268" s="591"/>
      <c r="X268" s="591"/>
      <c r="Y268" s="591"/>
      <c r="Z268" s="591"/>
      <c r="AA268" s="591"/>
      <c r="AB268" s="264"/>
      <c r="AC268" s="264"/>
      <c r="AD268" s="264"/>
      <c r="AE268" s="264"/>
      <c r="AF268" s="263"/>
      <c r="AG268" s="591"/>
      <c r="AH268" s="591"/>
      <c r="AI268" s="591"/>
      <c r="AJ268" s="591"/>
      <c r="AK268" s="591"/>
      <c r="AL268" s="591"/>
      <c r="AM268" s="591"/>
      <c r="AN268" s="591"/>
      <c r="AO268" s="591"/>
      <c r="AP268" s="264"/>
      <c r="AQ268" s="264"/>
      <c r="AR268" s="264"/>
      <c r="AS268" s="264"/>
      <c r="AT268" s="264"/>
      <c r="AU268" s="263"/>
      <c r="AV268" s="263"/>
      <c r="AW268" s="263"/>
      <c r="AX268" s="263"/>
      <c r="AY268" s="263"/>
      <c r="AZ268" s="263"/>
      <c r="BA268" s="263"/>
      <c r="BB268" s="263"/>
      <c r="BC268" s="263"/>
      <c r="BD268" s="263"/>
      <c r="BE268" s="264"/>
      <c r="BF268" s="264"/>
      <c r="BG268" s="264"/>
      <c r="BH268" s="264"/>
      <c r="BI268" s="263"/>
      <c r="BJ268" s="263"/>
      <c r="BK268" s="263"/>
      <c r="BL268" s="263"/>
      <c r="BM268" s="263"/>
      <c r="BN268" s="263"/>
      <c r="BO268" s="263"/>
      <c r="BP268" s="263"/>
      <c r="BQ268" s="263"/>
      <c r="BR268" s="263"/>
      <c r="BS268" s="263"/>
    </row>
    <row r="269" spans="1:81" s="142" customFormat="1" ht="191.25" x14ac:dyDescent="0.25">
      <c r="A269" s="616"/>
      <c r="B269" s="617"/>
      <c r="C269" s="617" t="s">
        <v>113</v>
      </c>
      <c r="D269" s="618" t="s">
        <v>193</v>
      </c>
      <c r="E269" s="617"/>
      <c r="F269" s="617"/>
      <c r="G269" s="619"/>
      <c r="H269" s="620" t="s">
        <v>514</v>
      </c>
      <c r="I269" s="620"/>
      <c r="J269" s="621"/>
      <c r="K269" s="619"/>
      <c r="L269" s="619"/>
      <c r="M269" s="619"/>
      <c r="N269" s="622"/>
      <c r="O269" s="620" t="s">
        <v>522</v>
      </c>
      <c r="P269" s="622"/>
      <c r="Q269" s="622"/>
      <c r="R269" s="622"/>
      <c r="S269" s="623"/>
      <c r="T269" s="624"/>
      <c r="U269" s="624"/>
      <c r="V269" s="624"/>
      <c r="W269" s="624"/>
      <c r="X269" s="624"/>
      <c r="Y269" s="624"/>
      <c r="Z269" s="624"/>
      <c r="AA269" s="624"/>
      <c r="AB269" s="622"/>
      <c r="AC269" s="620" t="s">
        <v>515</v>
      </c>
      <c r="AD269" s="622"/>
      <c r="AE269" s="622"/>
      <c r="AF269" s="619"/>
      <c r="AG269" s="625"/>
      <c r="AH269" s="625"/>
      <c r="AI269" s="625"/>
      <c r="AJ269" s="625"/>
      <c r="AK269" s="625"/>
      <c r="AL269" s="625"/>
      <c r="AM269" s="625"/>
      <c r="AN269" s="625"/>
      <c r="AO269" s="625"/>
      <c r="AP269" s="622"/>
      <c r="AQ269" s="622"/>
      <c r="AR269" s="620" t="s">
        <v>516</v>
      </c>
      <c r="AS269" s="622"/>
      <c r="AT269" s="622"/>
      <c r="AU269" s="619"/>
      <c r="AV269" s="785"/>
      <c r="AW269" s="786"/>
      <c r="AX269" s="786"/>
      <c r="AY269" s="786"/>
      <c r="AZ269" s="786"/>
      <c r="BA269" s="786"/>
      <c r="BB269" s="786"/>
      <c r="BC269" s="786"/>
      <c r="BD269" s="786"/>
      <c r="BE269" s="622"/>
      <c r="BF269" s="620" t="s">
        <v>515</v>
      </c>
      <c r="BG269" s="622"/>
      <c r="BH269" s="622"/>
      <c r="BI269" s="619"/>
      <c r="BJ269" s="625"/>
      <c r="BK269" s="625"/>
      <c r="BL269" s="625"/>
      <c r="BM269" s="625"/>
      <c r="BN269" s="625"/>
      <c r="BO269" s="625"/>
      <c r="BP269" s="625"/>
      <c r="BQ269" s="625"/>
      <c r="BR269" s="625"/>
      <c r="BS269" s="626"/>
    </row>
    <row r="270" spans="1:81" ht="13.5" outlineLevel="1" thickBot="1" x14ac:dyDescent="0.25">
      <c r="A270" s="312"/>
      <c r="B270" s="263"/>
      <c r="C270" s="263"/>
      <c r="D270" s="263"/>
      <c r="E270" s="263"/>
      <c r="F270" s="263"/>
      <c r="G270" s="506"/>
      <c r="H270" s="263"/>
      <c r="I270" s="345"/>
      <c r="J270" s="264"/>
      <c r="K270" s="22"/>
      <c r="L270" s="22"/>
      <c r="M270" s="22"/>
      <c r="N270" s="264"/>
      <c r="O270" s="22"/>
      <c r="P270" s="264"/>
      <c r="Q270" s="264"/>
      <c r="R270" s="264"/>
      <c r="S270" s="591"/>
      <c r="T270" s="591"/>
      <c r="U270" s="591"/>
      <c r="V270" s="591"/>
      <c r="W270" s="591"/>
      <c r="X270" s="591"/>
      <c r="Y270" s="591"/>
      <c r="Z270" s="591"/>
      <c r="AA270" s="591"/>
      <c r="AB270" s="264"/>
      <c r="AC270" s="22"/>
      <c r="AD270" s="24"/>
      <c r="AE270" s="264"/>
      <c r="AF270" s="263"/>
      <c r="AG270" s="591"/>
      <c r="AH270" s="591"/>
      <c r="AI270" s="591"/>
      <c r="AJ270" s="591"/>
      <c r="AK270" s="591"/>
      <c r="AL270" s="591"/>
      <c r="AM270" s="591"/>
      <c r="AN270" s="591"/>
      <c r="AO270" s="591"/>
      <c r="AP270" s="264"/>
      <c r="AQ270" s="264"/>
      <c r="AR270" s="22"/>
      <c r="AS270" s="24"/>
      <c r="AT270" s="264"/>
      <c r="AU270" s="263"/>
      <c r="AV270" s="263"/>
      <c r="AW270" s="263"/>
      <c r="AX270" s="263"/>
      <c r="AY270" s="263"/>
      <c r="AZ270" s="263"/>
      <c r="BA270" s="263"/>
      <c r="BB270" s="263"/>
      <c r="BC270" s="263"/>
      <c r="BD270" s="263"/>
      <c r="BE270" s="264"/>
      <c r="BF270" s="22"/>
      <c r="BG270" s="24"/>
      <c r="BH270" s="264"/>
      <c r="BI270" s="263"/>
      <c r="BJ270" s="591"/>
      <c r="BK270" s="591"/>
      <c r="BL270" s="591"/>
      <c r="BM270" s="591"/>
      <c r="BN270" s="591"/>
      <c r="BO270" s="591"/>
      <c r="BP270" s="591"/>
      <c r="BQ270" s="591"/>
      <c r="BR270" s="591"/>
      <c r="BS270" s="263"/>
    </row>
    <row r="271" spans="1:81" ht="24" customHeight="1" outlineLevel="1" x14ac:dyDescent="0.2">
      <c r="A271" s="400"/>
      <c r="B271" s="509" t="s">
        <v>113</v>
      </c>
      <c r="C271" s="510" t="s">
        <v>165</v>
      </c>
      <c r="D271" s="515" t="s">
        <v>109</v>
      </c>
      <c r="E271" s="403" t="s">
        <v>175</v>
      </c>
      <c r="F271" s="414" t="s">
        <v>51</v>
      </c>
      <c r="G271" s="413" t="s">
        <v>50</v>
      </c>
      <c r="H271" s="511" t="s">
        <v>214</v>
      </c>
      <c r="I271" s="744" t="s">
        <v>237</v>
      </c>
      <c r="J271" s="358"/>
      <c r="K271" s="627"/>
      <c r="L271" s="627"/>
      <c r="M271" s="627"/>
      <c r="N271" s="523"/>
      <c r="O271" s="515" t="s">
        <v>212</v>
      </c>
      <c r="P271" s="523"/>
      <c r="Q271" s="374">
        <v>0.1</v>
      </c>
      <c r="R271" s="523"/>
      <c r="S271" s="419">
        <f>(1+Sensitivity_Asset_Val)*(Complex_Process_Effort*(1+PM_Overhead)*$Q271)</f>
        <v>6.6000000000000005</v>
      </c>
      <c r="T271" s="419">
        <f>(1+Sensitivity_Asset_Val)*(Complex_Process_Effort*(1+PM_Overhead)*$Q271)</f>
        <v>6.6000000000000005</v>
      </c>
      <c r="U271" s="419">
        <f>(1+Sensitivity_Asset_Val)*(Complex_Process_Effort*(1+PM_Overhead)*$Q271)</f>
        <v>6.6000000000000005</v>
      </c>
      <c r="V271" s="419">
        <f>(1+Sensitivity_Asset_Val)*(Complex_Process_Effort*(1+PM_Overhead)*$Q271)</f>
        <v>6.6000000000000005</v>
      </c>
      <c r="W271" s="419">
        <f>(1+Sensitivity_Asset_Val)*0</f>
        <v>0</v>
      </c>
      <c r="X271" s="419">
        <f>(1+Sensitivity_Asset_Val)*0</f>
        <v>0</v>
      </c>
      <c r="Y271" s="419">
        <f>(1+Sensitivity_Asset_Val)*(Complex_Process_Effort*(1+PM_Overhead)*$Q271)*TierC_TierB_ratio</f>
        <v>3.3000000000000003</v>
      </c>
      <c r="Z271" s="419">
        <f>(1+Sensitivity_Asset_Val)*0</f>
        <v>0</v>
      </c>
      <c r="AA271" s="419">
        <f>Y271</f>
        <v>3.3000000000000003</v>
      </c>
      <c r="AB271" s="93"/>
      <c r="AC271" s="515" t="s">
        <v>212</v>
      </c>
      <c r="AD271" s="627"/>
      <c r="AE271" s="374">
        <v>0.1</v>
      </c>
      <c r="AF271" s="628"/>
      <c r="AG271" s="419">
        <f>(1+Sensitivity_Asset_Val)*(Complex_Process_Effort*(1+PM_Overhead)*$AE271)</f>
        <v>6.6000000000000005</v>
      </c>
      <c r="AH271" s="419">
        <f>(1+Sensitivity_Asset_Val)*(Complex_Process_Effort*(1+PM_Overhead)*$AE271)</f>
        <v>6.6000000000000005</v>
      </c>
      <c r="AI271" s="419">
        <f>(1+Sensitivity_Asset_Val)*(Complex_Process_Effort*(1+PM_Overhead)*$AE271)</f>
        <v>6.6000000000000005</v>
      </c>
      <c r="AJ271" s="419">
        <f>(1+Sensitivity_Asset_Val)*(Complex_Process_Effort*(1+PM_Overhead)*$AE271)</f>
        <v>6.6000000000000005</v>
      </c>
      <c r="AK271" s="419">
        <f>(1+Sensitivity_Asset_Val)*0</f>
        <v>0</v>
      </c>
      <c r="AL271" s="419">
        <f>(1+Sensitivity_Asset_Val)*0</f>
        <v>0</v>
      </c>
      <c r="AM271" s="419">
        <f>(1+Sensitivity_Asset_Val)*(Complex_Process_Effort*(1+PM_Overhead)*$AE271)*TierC_TierB_ratio</f>
        <v>3.3000000000000003</v>
      </c>
      <c r="AN271" s="419">
        <f>(1+Sensitivity_Asset_Val)*0</f>
        <v>0</v>
      </c>
      <c r="AO271" s="419">
        <f>AM271</f>
        <v>3.3000000000000003</v>
      </c>
      <c r="AP271" s="264"/>
      <c r="AQ271" s="264"/>
      <c r="AR271" s="515" t="s">
        <v>212</v>
      </c>
      <c r="AS271" s="627"/>
      <c r="AT271" s="374">
        <v>0.1</v>
      </c>
      <c r="AU271" s="523"/>
      <c r="AV271" s="419">
        <f>(1+Sensitivity_Asset_Val)*(Complex_Process_Effort*(1+PM_Overhead)*$Q271)</f>
        <v>6.6000000000000005</v>
      </c>
      <c r="AW271" s="419">
        <f>(1+Sensitivity_Asset_Val)*(Complex_Process_Effort*(1+PM_Overhead)*$Q271)</f>
        <v>6.6000000000000005</v>
      </c>
      <c r="AX271" s="419">
        <f>(1+Sensitivity_Asset_Val)*(Complex_Process_Effort*(1+PM_Overhead)*$Q271)</f>
        <v>6.6000000000000005</v>
      </c>
      <c r="AY271" s="419">
        <f>(1+Sensitivity_Asset_Val)*(Complex_Process_Effort*(1+PM_Overhead)*$Q271)</f>
        <v>6.6000000000000005</v>
      </c>
      <c r="AZ271" s="419">
        <f>(1+Sensitivity_Asset_Val)*0</f>
        <v>0</v>
      </c>
      <c r="BA271" s="419">
        <f>(1+Sensitivity_Asset_Val)*0</f>
        <v>0</v>
      </c>
      <c r="BB271" s="419">
        <f>(1+Sensitivity_Asset_Val)*(Complex_Process_Effort*(1+PM_Overhead)*$Q271)*TierC_TierB_ratio</f>
        <v>3.3000000000000003</v>
      </c>
      <c r="BC271" s="419">
        <f>(1+Sensitivity_Asset_Val)*0</f>
        <v>0</v>
      </c>
      <c r="BD271" s="419">
        <f>BB271</f>
        <v>3.3000000000000003</v>
      </c>
      <c r="BE271" s="264"/>
      <c r="BF271" s="515" t="s">
        <v>212</v>
      </c>
      <c r="BG271" s="627"/>
      <c r="BH271" s="374">
        <v>0.1</v>
      </c>
      <c r="BI271" s="628"/>
      <c r="BJ271" s="419">
        <f>(1+Sensitivity_Asset_Val)*(Complex_Process_Effort*(1+PM_Overhead)*$AE271)</f>
        <v>6.6000000000000005</v>
      </c>
      <c r="BK271" s="419">
        <f>(1+Sensitivity_Asset_Val)*(Complex_Process_Effort*(1+PM_Overhead)*$AE271)</f>
        <v>6.6000000000000005</v>
      </c>
      <c r="BL271" s="419">
        <f>(1+Sensitivity_Asset_Val)*(Complex_Process_Effort*(1+PM_Overhead)*$AE271)</f>
        <v>6.6000000000000005</v>
      </c>
      <c r="BM271" s="419">
        <f>(1+Sensitivity_Asset_Val)*(Complex_Process_Effort*(1+PM_Overhead)*$AE271)</f>
        <v>6.6000000000000005</v>
      </c>
      <c r="BN271" s="419">
        <f>(1+Sensitivity_Asset_Val)*0</f>
        <v>0</v>
      </c>
      <c r="BO271" s="419">
        <f>(1+Sensitivity_Asset_Val)*0</f>
        <v>0</v>
      </c>
      <c r="BP271" s="419">
        <f>(1+Sensitivity_Asset_Val)*(Complex_Process_Effort*(1+PM_Overhead)*$AE271)*TierC_TierB_ratio</f>
        <v>3.3000000000000003</v>
      </c>
      <c r="BQ271" s="419">
        <f>(1+Sensitivity_Asset_Val)*0</f>
        <v>0</v>
      </c>
      <c r="BR271" s="419">
        <f>BP271</f>
        <v>3.3000000000000003</v>
      </c>
      <c r="BS271" s="263"/>
      <c r="BT271" s="267"/>
      <c r="BU271" s="267"/>
      <c r="BV271" s="267"/>
      <c r="BW271" s="267"/>
      <c r="BX271" s="267"/>
      <c r="BY271" s="267"/>
      <c r="BZ271" s="267"/>
      <c r="CA271" s="267"/>
      <c r="CB271" s="267"/>
      <c r="CC271" s="267"/>
    </row>
    <row r="272" spans="1:81" ht="24" customHeight="1" outlineLevel="1" x14ac:dyDescent="0.2">
      <c r="A272" s="400"/>
      <c r="B272" s="509" t="s">
        <v>113</v>
      </c>
      <c r="C272" s="510" t="s">
        <v>165</v>
      </c>
      <c r="D272" s="515" t="s">
        <v>109</v>
      </c>
      <c r="E272" s="413" t="s">
        <v>175</v>
      </c>
      <c r="F272" s="414" t="s">
        <v>49</v>
      </c>
      <c r="G272" s="413" t="s">
        <v>47</v>
      </c>
      <c r="H272" s="511" t="s">
        <v>118</v>
      </c>
      <c r="I272" s="745"/>
      <c r="J272" s="358"/>
      <c r="K272" s="627"/>
      <c r="L272" s="627"/>
      <c r="M272" s="627"/>
      <c r="N272" s="523"/>
      <c r="O272" s="629"/>
      <c r="P272" s="523"/>
      <c r="Q272" s="523"/>
      <c r="R272" s="523"/>
      <c r="S272" s="374">
        <v>0.2</v>
      </c>
      <c r="T272" s="374">
        <v>0.2</v>
      </c>
      <c r="U272" s="374">
        <v>0.2</v>
      </c>
      <c r="V272" s="374">
        <v>0.2</v>
      </c>
      <c r="W272" s="374">
        <v>0.2</v>
      </c>
      <c r="X272" s="374">
        <v>0.2</v>
      </c>
      <c r="Y272" s="374">
        <v>0.2</v>
      </c>
      <c r="Z272" s="374">
        <v>0.2</v>
      </c>
      <c r="AA272" s="374">
        <v>0.2</v>
      </c>
      <c r="AB272" s="93"/>
      <c r="AC272" s="629"/>
      <c r="AD272" s="627"/>
      <c r="AE272" s="523"/>
      <c r="AF272" s="628"/>
      <c r="AG272" s="374">
        <v>0.2</v>
      </c>
      <c r="AH272" s="374">
        <v>0.2</v>
      </c>
      <c r="AI272" s="374">
        <v>0.2</v>
      </c>
      <c r="AJ272" s="374">
        <v>0.2</v>
      </c>
      <c r="AK272" s="374">
        <v>0.2</v>
      </c>
      <c r="AL272" s="374">
        <v>0.2</v>
      </c>
      <c r="AM272" s="374">
        <v>0.2</v>
      </c>
      <c r="AN272" s="374">
        <v>0.2</v>
      </c>
      <c r="AO272" s="374">
        <v>0.2</v>
      </c>
      <c r="AP272" s="264"/>
      <c r="AQ272" s="264"/>
      <c r="AR272" s="629"/>
      <c r="AS272" s="627"/>
      <c r="AT272" s="523"/>
      <c r="AU272" s="523"/>
      <c r="AV272" s="374">
        <v>0.2</v>
      </c>
      <c r="AW272" s="374">
        <v>0.2</v>
      </c>
      <c r="AX272" s="374">
        <v>0.2</v>
      </c>
      <c r="AY272" s="374">
        <v>0.2</v>
      </c>
      <c r="AZ272" s="374">
        <v>0.2</v>
      </c>
      <c r="BA272" s="374">
        <v>0.2</v>
      </c>
      <c r="BB272" s="374">
        <v>0.2</v>
      </c>
      <c r="BC272" s="374">
        <v>0.2</v>
      </c>
      <c r="BD272" s="374">
        <v>0.2</v>
      </c>
      <c r="BE272" s="264"/>
      <c r="BF272" s="629"/>
      <c r="BG272" s="627"/>
      <c r="BH272" s="523"/>
      <c r="BI272" s="628"/>
      <c r="BJ272" s="374">
        <v>0.2</v>
      </c>
      <c r="BK272" s="374">
        <v>0.2</v>
      </c>
      <c r="BL272" s="374">
        <v>0.2</v>
      </c>
      <c r="BM272" s="374">
        <v>0.2</v>
      </c>
      <c r="BN272" s="374">
        <v>0.2</v>
      </c>
      <c r="BO272" s="374">
        <v>0.2</v>
      </c>
      <c r="BP272" s="374">
        <v>0.2</v>
      </c>
      <c r="BQ272" s="374">
        <v>0.2</v>
      </c>
      <c r="BR272" s="374">
        <v>0.2</v>
      </c>
      <c r="BS272" s="263"/>
      <c r="BT272" s="267"/>
      <c r="BU272" s="267"/>
      <c r="BV272" s="267"/>
      <c r="BW272" s="267"/>
      <c r="BX272" s="267"/>
      <c r="BY272" s="267"/>
      <c r="BZ272" s="267"/>
      <c r="CA272" s="267"/>
      <c r="CB272" s="267"/>
    </row>
    <row r="273" spans="1:80" ht="24" customHeight="1" outlineLevel="1" x14ac:dyDescent="0.2">
      <c r="A273" s="400"/>
      <c r="B273" s="509" t="s">
        <v>113</v>
      </c>
      <c r="C273" s="510" t="s">
        <v>165</v>
      </c>
      <c r="D273" s="515" t="s">
        <v>109</v>
      </c>
      <c r="E273" s="413" t="s">
        <v>175</v>
      </c>
      <c r="F273" s="414" t="s">
        <v>51</v>
      </c>
      <c r="G273" s="413" t="s">
        <v>50</v>
      </c>
      <c r="H273" s="511" t="s">
        <v>117</v>
      </c>
      <c r="I273" s="745"/>
      <c r="J273" s="358"/>
      <c r="K273" s="411"/>
      <c r="L273" s="411"/>
      <c r="M273" s="411"/>
      <c r="N273" s="205"/>
      <c r="O273" s="551" t="s">
        <v>200</v>
      </c>
      <c r="P273" s="205"/>
      <c r="Q273" s="374">
        <v>0.1</v>
      </c>
      <c r="R273" s="205"/>
      <c r="S273" s="419">
        <f>(1+Sensitivity_Asset_Val)*Training_Duration*$Q273</f>
        <v>0.2</v>
      </c>
      <c r="T273" s="419">
        <f>(1+Sensitivity_Asset_Val)*Training_Duration*$Q273</f>
        <v>0.2</v>
      </c>
      <c r="U273" s="419">
        <f>(1+Sensitivity_Asset_Val)*Training_Duration*$Q273</f>
        <v>0.2</v>
      </c>
      <c r="V273" s="419">
        <f>(1+Sensitivity_Asset_Val)*Training_Duration*$Q273</f>
        <v>0.2</v>
      </c>
      <c r="W273" s="419">
        <f>(1+Sensitivity_Asset_Val)*0</f>
        <v>0</v>
      </c>
      <c r="X273" s="419">
        <f>(1+Sensitivity_Asset_Val)*0</f>
        <v>0</v>
      </c>
      <c r="Y273" s="419">
        <f>(1+Sensitivity_Asset_Val)*Training_Duration*$Q273</f>
        <v>0.2</v>
      </c>
      <c r="Z273" s="419">
        <f>(1+Sensitivity_Asset_Val)*Training_Duration*$Q273</f>
        <v>0.2</v>
      </c>
      <c r="AA273" s="419">
        <f>(1+Sensitivity_Asset_Val)*0</f>
        <v>0</v>
      </c>
      <c r="AB273" s="93"/>
      <c r="AC273" s="551" t="s">
        <v>200</v>
      </c>
      <c r="AD273" s="411"/>
      <c r="AE273" s="374">
        <v>0.1</v>
      </c>
      <c r="AF273" s="630"/>
      <c r="AG273" s="419">
        <f>(1+Sensitivity_Asset_Val)*Training_Duration*$AE273</f>
        <v>0.2</v>
      </c>
      <c r="AH273" s="419">
        <f>(1+Sensitivity_Asset_Val)*Training_Duration*$AE273</f>
        <v>0.2</v>
      </c>
      <c r="AI273" s="419">
        <f>(1+Sensitivity_Asset_Val)*Training_Duration*$AE273</f>
        <v>0.2</v>
      </c>
      <c r="AJ273" s="419">
        <f>(1+Sensitivity_Asset_Val)*Training_Duration*$AE273</f>
        <v>0.2</v>
      </c>
      <c r="AK273" s="419">
        <f>(1+Sensitivity_Asset_Val)*0</f>
        <v>0</v>
      </c>
      <c r="AL273" s="419">
        <f>(1+Sensitivity_Asset_Val)*0</f>
        <v>0</v>
      </c>
      <c r="AM273" s="419">
        <f>(1+Sensitivity_Asset_Val)*Training_Duration*$AE273</f>
        <v>0.2</v>
      </c>
      <c r="AN273" s="419">
        <f>(1+Sensitivity_Asset_Val)*Training_Duration*$AE273</f>
        <v>0.2</v>
      </c>
      <c r="AO273" s="419">
        <f>(1+Sensitivity_Asset_Val)*0</f>
        <v>0</v>
      </c>
      <c r="AP273" s="264"/>
      <c r="AQ273" s="264"/>
      <c r="AR273" s="551" t="s">
        <v>200</v>
      </c>
      <c r="AS273" s="411"/>
      <c r="AT273" s="374">
        <v>0.1</v>
      </c>
      <c r="AU273" s="205"/>
      <c r="AV273" s="419">
        <f>(1+Sensitivity_Asset_Val)*Training_Duration*$Q273</f>
        <v>0.2</v>
      </c>
      <c r="AW273" s="419">
        <f>(1+Sensitivity_Asset_Val)*Training_Duration*$Q273</f>
        <v>0.2</v>
      </c>
      <c r="AX273" s="419">
        <f>(1+Sensitivity_Asset_Val)*Training_Duration*$Q273</f>
        <v>0.2</v>
      </c>
      <c r="AY273" s="419">
        <f>(1+Sensitivity_Asset_Val)*Training_Duration*$Q273</f>
        <v>0.2</v>
      </c>
      <c r="AZ273" s="419">
        <f>(1+Sensitivity_Asset_Val)*0</f>
        <v>0</v>
      </c>
      <c r="BA273" s="419">
        <f>(1+Sensitivity_Asset_Val)*0</f>
        <v>0</v>
      </c>
      <c r="BB273" s="419">
        <f>(1+Sensitivity_Asset_Val)*Training_Duration*$Q273</f>
        <v>0.2</v>
      </c>
      <c r="BC273" s="419">
        <f>(1+Sensitivity_Asset_Val)*Training_Duration*$Q273</f>
        <v>0.2</v>
      </c>
      <c r="BD273" s="419">
        <f>(1+Sensitivity_Asset_Val)*0</f>
        <v>0</v>
      </c>
      <c r="BE273" s="264"/>
      <c r="BF273" s="551" t="s">
        <v>200</v>
      </c>
      <c r="BG273" s="411"/>
      <c r="BH273" s="374">
        <v>0.1</v>
      </c>
      <c r="BI273" s="630"/>
      <c r="BJ273" s="419">
        <f>(1+Sensitivity_Asset_Val)*Training_Duration*$AE273</f>
        <v>0.2</v>
      </c>
      <c r="BK273" s="419">
        <f>(1+Sensitivity_Asset_Val)*Training_Duration*$AE273</f>
        <v>0.2</v>
      </c>
      <c r="BL273" s="419">
        <f>(1+Sensitivity_Asset_Val)*Training_Duration*$AE273</f>
        <v>0.2</v>
      </c>
      <c r="BM273" s="419">
        <f>(1+Sensitivity_Asset_Val)*Training_Duration*$AE273</f>
        <v>0.2</v>
      </c>
      <c r="BN273" s="419">
        <f>(1+Sensitivity_Asset_Val)*0</f>
        <v>0</v>
      </c>
      <c r="BO273" s="419">
        <f>(1+Sensitivity_Asset_Val)*0</f>
        <v>0</v>
      </c>
      <c r="BP273" s="419">
        <f>(1+Sensitivity_Asset_Val)*Training_Duration*$AE273</f>
        <v>0.2</v>
      </c>
      <c r="BQ273" s="419">
        <f>(1+Sensitivity_Asset_Val)*Training_Duration*$AE273</f>
        <v>0.2</v>
      </c>
      <c r="BR273" s="419">
        <f>(1+Sensitivity_Asset_Val)*0</f>
        <v>0</v>
      </c>
      <c r="BS273" s="263"/>
      <c r="BT273" s="267"/>
      <c r="BU273" s="267"/>
      <c r="BV273" s="267"/>
      <c r="BW273" s="267"/>
      <c r="BX273" s="267"/>
      <c r="BY273" s="267"/>
      <c r="BZ273" s="267"/>
      <c r="CA273" s="267"/>
      <c r="CB273" s="267"/>
    </row>
    <row r="274" spans="1:80" ht="24" customHeight="1" outlineLevel="1" x14ac:dyDescent="0.2">
      <c r="A274" s="400"/>
      <c r="B274" s="509" t="s">
        <v>113</v>
      </c>
      <c r="C274" s="510" t="s">
        <v>165</v>
      </c>
      <c r="D274" s="515" t="s">
        <v>109</v>
      </c>
      <c r="E274" s="413" t="s">
        <v>175</v>
      </c>
      <c r="F274" s="414" t="s">
        <v>48</v>
      </c>
      <c r="G274" s="413" t="s">
        <v>50</v>
      </c>
      <c r="H274" s="511" t="s">
        <v>116</v>
      </c>
      <c r="I274" s="746"/>
      <c r="J274" s="523"/>
      <c r="K274" s="411"/>
      <c r="L274" s="411"/>
      <c r="M274" s="411"/>
      <c r="N274" s="523"/>
      <c r="O274" s="551" t="s">
        <v>218</v>
      </c>
      <c r="P274" s="523"/>
      <c r="Q274" s="523"/>
      <c r="R274" s="523"/>
      <c r="S274" s="419">
        <v>0</v>
      </c>
      <c r="T274" s="419">
        <v>0</v>
      </c>
      <c r="U274" s="419">
        <v>0</v>
      </c>
      <c r="V274" s="419">
        <v>0</v>
      </c>
      <c r="W274" s="419">
        <v>0</v>
      </c>
      <c r="X274" s="419">
        <v>0</v>
      </c>
      <c r="Y274" s="419">
        <v>0</v>
      </c>
      <c r="Z274" s="419">
        <v>0</v>
      </c>
      <c r="AA274" s="419">
        <v>0</v>
      </c>
      <c r="AB274" s="93"/>
      <c r="AC274" s="551" t="s">
        <v>218</v>
      </c>
      <c r="AD274" s="411"/>
      <c r="AE274" s="523"/>
      <c r="AF274" s="628"/>
      <c r="AG274" s="419">
        <v>0</v>
      </c>
      <c r="AH274" s="419">
        <v>0</v>
      </c>
      <c r="AI274" s="419">
        <v>0</v>
      </c>
      <c r="AJ274" s="419">
        <v>0</v>
      </c>
      <c r="AK274" s="419">
        <v>0</v>
      </c>
      <c r="AL274" s="419">
        <v>0</v>
      </c>
      <c r="AM274" s="419">
        <v>0</v>
      </c>
      <c r="AN274" s="419">
        <v>0</v>
      </c>
      <c r="AO274" s="419">
        <v>0</v>
      </c>
      <c r="AP274" s="264"/>
      <c r="AQ274" s="264"/>
      <c r="AR274" s="551" t="s">
        <v>218</v>
      </c>
      <c r="AS274" s="411"/>
      <c r="AT274" s="523"/>
      <c r="AU274" s="523"/>
      <c r="AV274" s="419">
        <v>0</v>
      </c>
      <c r="AW274" s="419">
        <v>0</v>
      </c>
      <c r="AX274" s="419">
        <v>0</v>
      </c>
      <c r="AY274" s="419">
        <v>0</v>
      </c>
      <c r="AZ274" s="419">
        <v>0</v>
      </c>
      <c r="BA274" s="419">
        <v>0</v>
      </c>
      <c r="BB274" s="419">
        <v>0</v>
      </c>
      <c r="BC274" s="419">
        <v>0</v>
      </c>
      <c r="BD274" s="419">
        <v>0</v>
      </c>
      <c r="BE274" s="264"/>
      <c r="BF274" s="551" t="s">
        <v>218</v>
      </c>
      <c r="BG274" s="411"/>
      <c r="BH274" s="523"/>
      <c r="BI274" s="628"/>
      <c r="BJ274" s="419">
        <v>0</v>
      </c>
      <c r="BK274" s="419">
        <v>0</v>
      </c>
      <c r="BL274" s="419">
        <v>0</v>
      </c>
      <c r="BM274" s="419">
        <v>0</v>
      </c>
      <c r="BN274" s="419">
        <v>0</v>
      </c>
      <c r="BO274" s="419">
        <v>0</v>
      </c>
      <c r="BP274" s="419">
        <v>0</v>
      </c>
      <c r="BQ274" s="419">
        <v>0</v>
      </c>
      <c r="BR274" s="419">
        <v>0</v>
      </c>
      <c r="BS274" s="263"/>
      <c r="BT274" s="267"/>
      <c r="BU274" s="267"/>
      <c r="BV274" s="267"/>
      <c r="BW274" s="267"/>
      <c r="BX274" s="267"/>
      <c r="BY274" s="267"/>
      <c r="BZ274" s="267"/>
      <c r="CA274" s="267"/>
      <c r="CB274" s="267"/>
    </row>
    <row r="275" spans="1:80" ht="24" customHeight="1" outlineLevel="1" x14ac:dyDescent="0.2">
      <c r="A275" s="312"/>
      <c r="B275" s="437" t="s">
        <v>113</v>
      </c>
      <c r="C275" s="171" t="s">
        <v>165</v>
      </c>
      <c r="D275" s="562" t="s">
        <v>109</v>
      </c>
      <c r="E275" s="421" t="s">
        <v>149</v>
      </c>
      <c r="F275" s="426" t="s">
        <v>51</v>
      </c>
      <c r="G275" s="426" t="s">
        <v>50</v>
      </c>
      <c r="H275" s="594" t="s">
        <v>214</v>
      </c>
      <c r="I275" s="747" t="s">
        <v>180</v>
      </c>
      <c r="J275" s="424"/>
      <c r="K275" s="424"/>
      <c r="L275" s="424"/>
      <c r="M275" s="424"/>
      <c r="N275" s="424"/>
      <c r="O275" s="432" t="s">
        <v>213</v>
      </c>
      <c r="P275" s="424"/>
      <c r="Q275" s="374">
        <v>0.4</v>
      </c>
      <c r="R275" s="424"/>
      <c r="S275" s="419">
        <f>(1+Sensitivity_Asset_Val)*(Complex_Process_Effort*(1+PM_Overhead)*$Q275)</f>
        <v>26.400000000000002</v>
      </c>
      <c r="T275" s="419">
        <f>(1+Sensitivity_Asset_Val)*(Complex_Process_Effort*(1+PM_Overhead)*$Q275)</f>
        <v>26.400000000000002</v>
      </c>
      <c r="U275" s="419">
        <f>(1+Sensitivity_Asset_Val)*(Complex_Process_Effort*(1+PM_Overhead)*$Q275)</f>
        <v>26.400000000000002</v>
      </c>
      <c r="V275" s="419">
        <f>(1+Sensitivity_Asset_Val)*(Complex_Process_Effort*(1+PM_Overhead)*$Q275)</f>
        <v>26.400000000000002</v>
      </c>
      <c r="W275" s="419">
        <f>(1+Sensitivity_Asset_Val)*0</f>
        <v>0</v>
      </c>
      <c r="X275" s="419">
        <f>(1+Sensitivity_Asset_Val)*0</f>
        <v>0</v>
      </c>
      <c r="Y275" s="419">
        <f>(1+Sensitivity_Asset_Val)*(Complex_Process_Effort*(1+PM_Overhead)*$Q275)*TierC_TierB_ratio</f>
        <v>13.200000000000001</v>
      </c>
      <c r="Z275" s="419">
        <f>(1+Sensitivity_Asset_Val)*0</f>
        <v>0</v>
      </c>
      <c r="AA275" s="419">
        <f>Y275</f>
        <v>13.200000000000001</v>
      </c>
      <c r="AB275" s="264"/>
      <c r="AC275" s="432" t="s">
        <v>213</v>
      </c>
      <c r="AD275" s="424"/>
      <c r="AE275" s="374">
        <v>0.4</v>
      </c>
      <c r="AF275" s="631"/>
      <c r="AG275" s="419">
        <f>(1+Sensitivity_Asset_Val)*(Complex_Process_Effort*(1+PM_Overhead)*$AE275)</f>
        <v>26.400000000000002</v>
      </c>
      <c r="AH275" s="419">
        <f>(1+Sensitivity_Asset_Val)*(Complex_Process_Effort*(1+PM_Overhead)*$AE275)</f>
        <v>26.400000000000002</v>
      </c>
      <c r="AI275" s="419">
        <f>(1+Sensitivity_Asset_Val)*(Complex_Process_Effort*(1+PM_Overhead)*$AE275)</f>
        <v>26.400000000000002</v>
      </c>
      <c r="AJ275" s="419">
        <f>(1+Sensitivity_Asset_Val)*(Complex_Process_Effort*(1+PM_Overhead)*$AE275)</f>
        <v>26.400000000000002</v>
      </c>
      <c r="AK275" s="419">
        <f>(1+Sensitivity_Asset_Val)*0</f>
        <v>0</v>
      </c>
      <c r="AL275" s="419">
        <f>(1+Sensitivity_Asset_Val)*0</f>
        <v>0</v>
      </c>
      <c r="AM275" s="419">
        <f>(1+Sensitivity_Asset_Val)*(Complex_Process_Effort*(1+PM_Overhead)*$AE275)*TierC_TierB_ratio</f>
        <v>13.200000000000001</v>
      </c>
      <c r="AN275" s="419">
        <f>(1+Sensitivity_Asset_Val)*0</f>
        <v>0</v>
      </c>
      <c r="AO275" s="419">
        <f>AM275</f>
        <v>13.200000000000001</v>
      </c>
      <c r="AP275" s="264"/>
      <c r="AQ275" s="264"/>
      <c r="AR275" s="432" t="s">
        <v>213</v>
      </c>
      <c r="AS275" s="424"/>
      <c r="AT275" s="374">
        <v>0.4</v>
      </c>
      <c r="AU275" s="424"/>
      <c r="AV275" s="419">
        <f>(1+Sensitivity_Asset_Val)*(Complex_Process_Effort*(1+PM_Overhead)*$Q275)</f>
        <v>26.400000000000002</v>
      </c>
      <c r="AW275" s="419">
        <f>(1+Sensitivity_Asset_Val)*(Complex_Process_Effort*(1+PM_Overhead)*$Q275)</f>
        <v>26.400000000000002</v>
      </c>
      <c r="AX275" s="419">
        <f>(1+Sensitivity_Asset_Val)*(Complex_Process_Effort*(1+PM_Overhead)*$Q275)</f>
        <v>26.400000000000002</v>
      </c>
      <c r="AY275" s="419">
        <f>(1+Sensitivity_Asset_Val)*(Complex_Process_Effort*(1+PM_Overhead)*$Q275)</f>
        <v>26.400000000000002</v>
      </c>
      <c r="AZ275" s="419">
        <f>(1+Sensitivity_Asset_Val)*0</f>
        <v>0</v>
      </c>
      <c r="BA275" s="419">
        <f>(1+Sensitivity_Asset_Val)*0</f>
        <v>0</v>
      </c>
      <c r="BB275" s="419">
        <f>(1+Sensitivity_Asset_Val)*(Complex_Process_Effort*(1+PM_Overhead)*$Q275)*TierC_TierB_ratio</f>
        <v>13.200000000000001</v>
      </c>
      <c r="BC275" s="419">
        <f>(1+Sensitivity_Asset_Val)*0</f>
        <v>0</v>
      </c>
      <c r="BD275" s="419">
        <f>BB275</f>
        <v>13.200000000000001</v>
      </c>
      <c r="BE275" s="264"/>
      <c r="BF275" s="432" t="s">
        <v>213</v>
      </c>
      <c r="BG275" s="424"/>
      <c r="BH275" s="374">
        <v>0.4</v>
      </c>
      <c r="BI275" s="631"/>
      <c r="BJ275" s="419">
        <f>(1+Sensitivity_Asset_Val)*(Complex_Process_Effort*(1+PM_Overhead)*$AE275)</f>
        <v>26.400000000000002</v>
      </c>
      <c r="BK275" s="419">
        <f>(1+Sensitivity_Asset_Val)*(Complex_Process_Effort*(1+PM_Overhead)*$AE275)</f>
        <v>26.400000000000002</v>
      </c>
      <c r="BL275" s="419">
        <f>(1+Sensitivity_Asset_Val)*(Complex_Process_Effort*(1+PM_Overhead)*$AE275)</f>
        <v>26.400000000000002</v>
      </c>
      <c r="BM275" s="419">
        <f>(1+Sensitivity_Asset_Val)*(Complex_Process_Effort*(1+PM_Overhead)*$AE275)</f>
        <v>26.400000000000002</v>
      </c>
      <c r="BN275" s="419">
        <f>(1+Sensitivity_Asset_Val)*0</f>
        <v>0</v>
      </c>
      <c r="BO275" s="419">
        <f>(1+Sensitivity_Asset_Val)*0</f>
        <v>0</v>
      </c>
      <c r="BP275" s="419">
        <f>(1+Sensitivity_Asset_Val)*(Complex_Process_Effort*(1+PM_Overhead)*$AE275)*TierC_TierB_ratio</f>
        <v>13.200000000000001</v>
      </c>
      <c r="BQ275" s="419">
        <f>(1+Sensitivity_Asset_Val)*0</f>
        <v>0</v>
      </c>
      <c r="BR275" s="419">
        <f>BP275</f>
        <v>13.200000000000001</v>
      </c>
      <c r="BS275" s="263"/>
      <c r="BT275" s="267"/>
      <c r="BU275" s="267"/>
      <c r="BV275" s="267"/>
      <c r="BW275" s="267"/>
      <c r="BX275" s="267"/>
      <c r="BY275" s="267"/>
      <c r="BZ275" s="267"/>
      <c r="CA275" s="267"/>
      <c r="CB275" s="267"/>
    </row>
    <row r="276" spans="1:80" ht="24" customHeight="1" outlineLevel="1" x14ac:dyDescent="0.2">
      <c r="A276" s="312"/>
      <c r="B276" s="437" t="s">
        <v>113</v>
      </c>
      <c r="C276" s="171" t="s">
        <v>165</v>
      </c>
      <c r="D276" s="562" t="s">
        <v>109</v>
      </c>
      <c r="E276" s="421" t="s">
        <v>149</v>
      </c>
      <c r="F276" s="426" t="s">
        <v>49</v>
      </c>
      <c r="G276" s="426" t="s">
        <v>47</v>
      </c>
      <c r="H276" s="552" t="s">
        <v>118</v>
      </c>
      <c r="I276" s="748"/>
      <c r="J276" s="424"/>
      <c r="K276" s="424"/>
      <c r="L276" s="424"/>
      <c r="M276" s="424"/>
      <c r="N276" s="424"/>
      <c r="O276" s="442"/>
      <c r="P276" s="424"/>
      <c r="Q276" s="424"/>
      <c r="R276" s="424"/>
      <c r="S276" s="374">
        <v>0.2</v>
      </c>
      <c r="T276" s="374">
        <v>0.2</v>
      </c>
      <c r="U276" s="374">
        <v>0.2</v>
      </c>
      <c r="V276" s="374">
        <v>0.2</v>
      </c>
      <c r="W276" s="374">
        <v>0.2</v>
      </c>
      <c r="X276" s="374">
        <v>0.2</v>
      </c>
      <c r="Y276" s="374">
        <v>0.2</v>
      </c>
      <c r="Z276" s="374">
        <v>0.2</v>
      </c>
      <c r="AA276" s="374">
        <v>0.2</v>
      </c>
      <c r="AB276" s="264"/>
      <c r="AC276" s="442"/>
      <c r="AD276" s="424"/>
      <c r="AE276" s="424"/>
      <c r="AF276" s="631"/>
      <c r="AG276" s="374">
        <v>0.2</v>
      </c>
      <c r="AH276" s="374">
        <v>0.2</v>
      </c>
      <c r="AI276" s="374">
        <v>0.2</v>
      </c>
      <c r="AJ276" s="374">
        <v>0.2</v>
      </c>
      <c r="AK276" s="374">
        <v>0.2</v>
      </c>
      <c r="AL276" s="374">
        <v>0.2</v>
      </c>
      <c r="AM276" s="374">
        <v>0.2</v>
      </c>
      <c r="AN276" s="374">
        <v>0.2</v>
      </c>
      <c r="AO276" s="374">
        <v>0.2</v>
      </c>
      <c r="AP276" s="264"/>
      <c r="AQ276" s="264"/>
      <c r="AR276" s="442"/>
      <c r="AS276" s="424"/>
      <c r="AT276" s="424"/>
      <c r="AU276" s="424"/>
      <c r="AV276" s="374">
        <v>0.2</v>
      </c>
      <c r="AW276" s="374">
        <v>0.2</v>
      </c>
      <c r="AX276" s="374">
        <v>0.2</v>
      </c>
      <c r="AY276" s="374">
        <v>0.2</v>
      </c>
      <c r="AZ276" s="374">
        <v>0.2</v>
      </c>
      <c r="BA276" s="374">
        <v>0.2</v>
      </c>
      <c r="BB276" s="374">
        <v>0.2</v>
      </c>
      <c r="BC276" s="374">
        <v>0.2</v>
      </c>
      <c r="BD276" s="374">
        <v>0.2</v>
      </c>
      <c r="BE276" s="264"/>
      <c r="BF276" s="442"/>
      <c r="BG276" s="424"/>
      <c r="BH276" s="424"/>
      <c r="BI276" s="631"/>
      <c r="BJ276" s="374">
        <v>0.2</v>
      </c>
      <c r="BK276" s="374">
        <v>0.2</v>
      </c>
      <c r="BL276" s="374">
        <v>0.2</v>
      </c>
      <c r="BM276" s="374">
        <v>0.2</v>
      </c>
      <c r="BN276" s="374">
        <v>0.2</v>
      </c>
      <c r="BO276" s="374">
        <v>0.2</v>
      </c>
      <c r="BP276" s="374">
        <v>0.2</v>
      </c>
      <c r="BQ276" s="374">
        <v>0.2</v>
      </c>
      <c r="BR276" s="374">
        <v>0.2</v>
      </c>
      <c r="BS276" s="263"/>
      <c r="BT276" s="267"/>
      <c r="BU276" s="267"/>
      <c r="BV276" s="267"/>
      <c r="BW276" s="267"/>
      <c r="BX276" s="267"/>
      <c r="BY276" s="267"/>
      <c r="BZ276" s="267"/>
      <c r="CA276" s="267"/>
      <c r="CB276" s="267"/>
    </row>
    <row r="277" spans="1:80" ht="24" customHeight="1" outlineLevel="1" x14ac:dyDescent="0.2">
      <c r="A277" s="400"/>
      <c r="B277" s="437" t="s">
        <v>113</v>
      </c>
      <c r="C277" s="171" t="s">
        <v>165</v>
      </c>
      <c r="D277" s="562" t="s">
        <v>109</v>
      </c>
      <c r="E277" s="421" t="s">
        <v>149</v>
      </c>
      <c r="F277" s="421" t="s">
        <v>51</v>
      </c>
      <c r="G277" s="421" t="s">
        <v>50</v>
      </c>
      <c r="H277" s="632" t="s">
        <v>117</v>
      </c>
      <c r="I277" s="748"/>
      <c r="J277" s="424"/>
      <c r="K277" s="424"/>
      <c r="L277" s="424"/>
      <c r="M277" s="424"/>
      <c r="N277" s="424"/>
      <c r="O277" s="633" t="s">
        <v>202</v>
      </c>
      <c r="P277" s="424"/>
      <c r="Q277" s="374">
        <v>0.4</v>
      </c>
      <c r="R277" s="424"/>
      <c r="S277" s="419">
        <f>(1+Sensitivity_Asset_Val)*Training_Duration*$Q277</f>
        <v>0.8</v>
      </c>
      <c r="T277" s="419">
        <f>(1+Sensitivity_Asset_Val)*Training_Duration*$Q277</f>
        <v>0.8</v>
      </c>
      <c r="U277" s="419">
        <f>(1+Sensitivity_Asset_Val)*Training_Duration*$Q277</f>
        <v>0.8</v>
      </c>
      <c r="V277" s="419">
        <f>(1+Sensitivity_Asset_Val)*Training_Duration*$Q277</f>
        <v>0.8</v>
      </c>
      <c r="W277" s="419">
        <f>(1+Sensitivity_Asset_Val)*0</f>
        <v>0</v>
      </c>
      <c r="X277" s="419">
        <f>(1+Sensitivity_Asset_Val)*0</f>
        <v>0</v>
      </c>
      <c r="Y277" s="419">
        <f>(1+Sensitivity_Asset_Val)*Training_Duration*$Q277</f>
        <v>0.8</v>
      </c>
      <c r="Z277" s="419">
        <f>(1+Sensitivity_Asset_Val)*Training_Duration*$Q277</f>
        <v>0.8</v>
      </c>
      <c r="AA277" s="419">
        <f>(1+Sensitivity_Asset_Val)*0</f>
        <v>0</v>
      </c>
      <c r="AB277" s="93"/>
      <c r="AC277" s="633" t="s">
        <v>202</v>
      </c>
      <c r="AD277" s="424"/>
      <c r="AE277" s="374">
        <v>0.4</v>
      </c>
      <c r="AF277" s="631"/>
      <c r="AG277" s="419">
        <f>(1+Sensitivity_Asset_Val)*Training_Duration*$AE277</f>
        <v>0.8</v>
      </c>
      <c r="AH277" s="419">
        <f>(1+Sensitivity_Asset_Val)*Training_Duration*$AE277</f>
        <v>0.8</v>
      </c>
      <c r="AI277" s="419">
        <f>(1+Sensitivity_Asset_Val)*Training_Duration*$AE277</f>
        <v>0.8</v>
      </c>
      <c r="AJ277" s="419">
        <f>(1+Sensitivity_Asset_Val)*Training_Duration*$AE277</f>
        <v>0.8</v>
      </c>
      <c r="AK277" s="419">
        <f>(1+Sensitivity_Asset_Val)*0</f>
        <v>0</v>
      </c>
      <c r="AL277" s="419">
        <f>(1+Sensitivity_Asset_Val)*0</f>
        <v>0</v>
      </c>
      <c r="AM277" s="419">
        <f>(1+Sensitivity_Asset_Val)*Training_Duration*$AE277</f>
        <v>0.8</v>
      </c>
      <c r="AN277" s="419">
        <f>(1+Sensitivity_Asset_Val)*Inputs_Estimates!$E$20*40%</f>
        <v>0.8</v>
      </c>
      <c r="AO277" s="419">
        <f>(1+Sensitivity_Asset_Val)*0</f>
        <v>0</v>
      </c>
      <c r="AP277" s="264"/>
      <c r="AQ277" s="264"/>
      <c r="AR277" s="633" t="s">
        <v>202</v>
      </c>
      <c r="AS277" s="424"/>
      <c r="AT277" s="374">
        <v>0.4</v>
      </c>
      <c r="AU277" s="424"/>
      <c r="AV277" s="419">
        <f>(1+Sensitivity_Asset_Val)*Training_Duration*$Q277</f>
        <v>0.8</v>
      </c>
      <c r="AW277" s="419">
        <f>(1+Sensitivity_Asset_Val)*Training_Duration*$Q277</f>
        <v>0.8</v>
      </c>
      <c r="AX277" s="419">
        <f>(1+Sensitivity_Asset_Val)*Training_Duration*$Q277</f>
        <v>0.8</v>
      </c>
      <c r="AY277" s="419">
        <f>(1+Sensitivity_Asset_Val)*Training_Duration*$Q277</f>
        <v>0.8</v>
      </c>
      <c r="AZ277" s="419">
        <f>(1+Sensitivity_Asset_Val)*0</f>
        <v>0</v>
      </c>
      <c r="BA277" s="419">
        <f>(1+Sensitivity_Asset_Val)*0</f>
        <v>0</v>
      </c>
      <c r="BB277" s="419">
        <f>(1+Sensitivity_Asset_Val)*Training_Duration*$Q277</f>
        <v>0.8</v>
      </c>
      <c r="BC277" s="419">
        <f>(1+Sensitivity_Asset_Val)*Training_Duration*$Q277</f>
        <v>0.8</v>
      </c>
      <c r="BD277" s="419">
        <f>(1+Sensitivity_Asset_Val)*0</f>
        <v>0</v>
      </c>
      <c r="BE277" s="264"/>
      <c r="BF277" s="633" t="s">
        <v>202</v>
      </c>
      <c r="BG277" s="424"/>
      <c r="BH277" s="374">
        <v>0.4</v>
      </c>
      <c r="BI277" s="631"/>
      <c r="BJ277" s="419">
        <f>(1+Sensitivity_Asset_Val)*Training_Duration*$AE277</f>
        <v>0.8</v>
      </c>
      <c r="BK277" s="419">
        <f>(1+Sensitivity_Asset_Val)*Training_Duration*$AE277</f>
        <v>0.8</v>
      </c>
      <c r="BL277" s="419">
        <f>(1+Sensitivity_Asset_Val)*Training_Duration*$AE277</f>
        <v>0.8</v>
      </c>
      <c r="BM277" s="419">
        <f>(1+Sensitivity_Asset_Val)*Training_Duration*$AE277</f>
        <v>0.8</v>
      </c>
      <c r="BN277" s="419">
        <f>(1+Sensitivity_Asset_Val)*0</f>
        <v>0</v>
      </c>
      <c r="BO277" s="419">
        <f>(1+Sensitivity_Asset_Val)*0</f>
        <v>0</v>
      </c>
      <c r="BP277" s="419">
        <f>(1+Sensitivity_Asset_Val)*Training_Duration*$AE277</f>
        <v>0.8</v>
      </c>
      <c r="BQ277" s="419">
        <f>(1+Sensitivity_Asset_Val)*Inputs_Estimates!$E$20*40%</f>
        <v>0.8</v>
      </c>
      <c r="BR277" s="419">
        <f>(1+Sensitivity_Asset_Val)*0</f>
        <v>0</v>
      </c>
      <c r="BS277" s="263"/>
      <c r="BT277" s="267"/>
      <c r="BU277" s="267"/>
      <c r="BV277" s="267"/>
      <c r="BW277" s="267"/>
      <c r="BX277" s="267"/>
      <c r="BY277" s="267"/>
      <c r="BZ277" s="267"/>
      <c r="CA277" s="267"/>
      <c r="CB277" s="267"/>
    </row>
    <row r="278" spans="1:80" ht="24" customHeight="1" outlineLevel="1" x14ac:dyDescent="0.2">
      <c r="A278" s="400"/>
      <c r="B278" s="437" t="s">
        <v>113</v>
      </c>
      <c r="C278" s="171" t="s">
        <v>165</v>
      </c>
      <c r="D278" s="562" t="s">
        <v>109</v>
      </c>
      <c r="E278" s="421" t="s">
        <v>149</v>
      </c>
      <c r="F278" s="421" t="s">
        <v>48</v>
      </c>
      <c r="G278" s="421" t="s">
        <v>50</v>
      </c>
      <c r="H278" s="632" t="s">
        <v>181</v>
      </c>
      <c r="I278" s="749"/>
      <c r="J278" s="424"/>
      <c r="K278" s="424"/>
      <c r="L278" s="424"/>
      <c r="M278" s="424"/>
      <c r="N278" s="424"/>
      <c r="O278" s="554" t="s">
        <v>218</v>
      </c>
      <c r="P278" s="424"/>
      <c r="Q278" s="424"/>
      <c r="R278" s="424"/>
      <c r="S278" s="419">
        <v>0</v>
      </c>
      <c r="T278" s="419">
        <v>0</v>
      </c>
      <c r="U278" s="419">
        <v>0</v>
      </c>
      <c r="V278" s="419">
        <v>0</v>
      </c>
      <c r="W278" s="419">
        <v>0</v>
      </c>
      <c r="X278" s="419">
        <v>0</v>
      </c>
      <c r="Y278" s="419">
        <v>0</v>
      </c>
      <c r="Z278" s="419">
        <v>0</v>
      </c>
      <c r="AA278" s="419">
        <v>0</v>
      </c>
      <c r="AB278" s="93"/>
      <c r="AC278" s="554" t="s">
        <v>218</v>
      </c>
      <c r="AD278" s="424"/>
      <c r="AE278" s="424"/>
      <c r="AF278" s="631"/>
      <c r="AG278" s="419">
        <v>0</v>
      </c>
      <c r="AH278" s="419">
        <v>0</v>
      </c>
      <c r="AI278" s="419">
        <v>0</v>
      </c>
      <c r="AJ278" s="419">
        <v>0</v>
      </c>
      <c r="AK278" s="419">
        <v>0</v>
      </c>
      <c r="AL278" s="419">
        <v>0</v>
      </c>
      <c r="AM278" s="419">
        <v>0</v>
      </c>
      <c r="AN278" s="419">
        <v>0</v>
      </c>
      <c r="AO278" s="419">
        <v>0</v>
      </c>
      <c r="AP278" s="264"/>
      <c r="AQ278" s="264"/>
      <c r="AR278" s="554" t="s">
        <v>218</v>
      </c>
      <c r="AS278" s="424"/>
      <c r="AT278" s="424"/>
      <c r="AU278" s="424"/>
      <c r="AV278" s="419">
        <v>0</v>
      </c>
      <c r="AW278" s="419">
        <v>0</v>
      </c>
      <c r="AX278" s="419">
        <v>0</v>
      </c>
      <c r="AY278" s="419">
        <v>0</v>
      </c>
      <c r="AZ278" s="419">
        <v>0</v>
      </c>
      <c r="BA278" s="419">
        <v>0</v>
      </c>
      <c r="BB278" s="419">
        <v>0</v>
      </c>
      <c r="BC278" s="419">
        <v>0</v>
      </c>
      <c r="BD278" s="419">
        <v>0</v>
      </c>
      <c r="BE278" s="264"/>
      <c r="BF278" s="554" t="s">
        <v>218</v>
      </c>
      <c r="BG278" s="424"/>
      <c r="BH278" s="424"/>
      <c r="BI278" s="631"/>
      <c r="BJ278" s="419">
        <v>0</v>
      </c>
      <c r="BK278" s="419">
        <v>0</v>
      </c>
      <c r="BL278" s="419">
        <v>0</v>
      </c>
      <c r="BM278" s="419">
        <v>0</v>
      </c>
      <c r="BN278" s="419">
        <v>0</v>
      </c>
      <c r="BO278" s="419">
        <v>0</v>
      </c>
      <c r="BP278" s="419">
        <v>0</v>
      </c>
      <c r="BQ278" s="419">
        <v>0</v>
      </c>
      <c r="BR278" s="419">
        <v>0</v>
      </c>
      <c r="BS278" s="263"/>
      <c r="BT278" s="267"/>
      <c r="BU278" s="267"/>
      <c r="BV278" s="267"/>
      <c r="BW278" s="267"/>
      <c r="BX278" s="267"/>
      <c r="BY278" s="267"/>
      <c r="BZ278" s="267"/>
      <c r="CA278" s="267"/>
      <c r="CB278" s="267"/>
    </row>
    <row r="279" spans="1:80" ht="24" customHeight="1" outlineLevel="1" x14ac:dyDescent="0.2">
      <c r="A279" s="312"/>
      <c r="B279" s="509" t="s">
        <v>113</v>
      </c>
      <c r="C279" s="510" t="s">
        <v>165</v>
      </c>
      <c r="D279" s="515" t="s">
        <v>109</v>
      </c>
      <c r="E279" s="515" t="s">
        <v>139</v>
      </c>
      <c r="F279" s="414" t="s">
        <v>51</v>
      </c>
      <c r="G279" s="413" t="s">
        <v>50</v>
      </c>
      <c r="H279" s="511" t="s">
        <v>214</v>
      </c>
      <c r="I279" s="779" t="s">
        <v>435</v>
      </c>
      <c r="J279" s="407"/>
      <c r="K279" s="436"/>
      <c r="L279" s="436"/>
      <c r="M279" s="436"/>
      <c r="N279" s="488"/>
      <c r="O279" s="515" t="s">
        <v>213</v>
      </c>
      <c r="P279" s="488"/>
      <c r="Q279" s="374">
        <v>0.4</v>
      </c>
      <c r="R279" s="488"/>
      <c r="S279" s="419">
        <f>(1+Sensitivity_Asset_Val)*(Complex_Process_Effort*(1+PM_Overhead)*$Q279)</f>
        <v>26.400000000000002</v>
      </c>
      <c r="T279" s="419">
        <f>(1+Sensitivity_Asset_Val)*(Complex_Process_Effort*(1+PM_Overhead)*$Q279)</f>
        <v>26.400000000000002</v>
      </c>
      <c r="U279" s="419">
        <f>(1+Sensitivity_Asset_Val)*(Complex_Process_Effort*(1+PM_Overhead)*$Q279)</f>
        <v>26.400000000000002</v>
      </c>
      <c r="V279" s="419">
        <f>(1+Sensitivity_Asset_Val)*(Complex_Process_Effort*(1+PM_Overhead)*$Q279)</f>
        <v>26.400000000000002</v>
      </c>
      <c r="W279" s="419">
        <f>(1+Sensitivity_Asset_Val)*0</f>
        <v>0</v>
      </c>
      <c r="X279" s="419">
        <f>(1+Sensitivity_Asset_Val)*0</f>
        <v>0</v>
      </c>
      <c r="Y279" s="419">
        <f>(1+Sensitivity_Asset_Val)*(Complex_Process_Effort*(1+PM_Overhead)*$Q279)*TierC_TierB_ratio</f>
        <v>13.200000000000001</v>
      </c>
      <c r="Z279" s="419">
        <f>(1+Sensitivity_Asset_Val)*0</f>
        <v>0</v>
      </c>
      <c r="AA279" s="419">
        <f>Y279</f>
        <v>13.200000000000001</v>
      </c>
      <c r="AB279" s="264"/>
      <c r="AC279" s="515" t="s">
        <v>213</v>
      </c>
      <c r="AD279" s="436"/>
      <c r="AE279" s="374">
        <v>0.4</v>
      </c>
      <c r="AF279" s="487"/>
      <c r="AG279" s="419">
        <f>(1+Sensitivity_Asset_Val)*(Complex_Process_Effort*(1+PM_Overhead)*$AE279)</f>
        <v>26.400000000000002</v>
      </c>
      <c r="AH279" s="419">
        <f>(1+Sensitivity_Asset_Val)*(Complex_Process_Effort*(1+PM_Overhead)*$AE279)</f>
        <v>26.400000000000002</v>
      </c>
      <c r="AI279" s="419">
        <f>(1+Sensitivity_Asset_Val)*(Complex_Process_Effort*(1+PM_Overhead)*$AE279)</f>
        <v>26.400000000000002</v>
      </c>
      <c r="AJ279" s="419">
        <f>(1+Sensitivity_Asset_Val)*(Complex_Process_Effort*(1+PM_Overhead)*$AE279)</f>
        <v>26.400000000000002</v>
      </c>
      <c r="AK279" s="419">
        <f>(1+Sensitivity_Asset_Val)*0</f>
        <v>0</v>
      </c>
      <c r="AL279" s="419">
        <f>(1+Sensitivity_Asset_Val)*0</f>
        <v>0</v>
      </c>
      <c r="AM279" s="419">
        <f>(1+Sensitivity_Asset_Val)*(Complex_Process_Effort*(1+PM_Overhead)*$AE279)*TierC_TierB_ratio</f>
        <v>13.200000000000001</v>
      </c>
      <c r="AN279" s="419">
        <f>(1+Sensitivity_Asset_Val)*0</f>
        <v>0</v>
      </c>
      <c r="AO279" s="419">
        <f>AM279</f>
        <v>13.200000000000001</v>
      </c>
      <c r="AP279" s="264"/>
      <c r="AQ279" s="264"/>
      <c r="AR279" s="515" t="s">
        <v>213</v>
      </c>
      <c r="AS279" s="436"/>
      <c r="AT279" s="374">
        <v>0.4</v>
      </c>
      <c r="AU279" s="488"/>
      <c r="AV279" s="419">
        <f>(1+Sensitivity_Asset_Val)*(Complex_Process_Effort*(1+PM_Overhead)*$Q279)</f>
        <v>26.400000000000002</v>
      </c>
      <c r="AW279" s="419">
        <f>(1+Sensitivity_Asset_Val)*(Complex_Process_Effort*(1+PM_Overhead)*$Q279)</f>
        <v>26.400000000000002</v>
      </c>
      <c r="AX279" s="419">
        <f>(1+Sensitivity_Asset_Val)*(Complex_Process_Effort*(1+PM_Overhead)*$Q279)</f>
        <v>26.400000000000002</v>
      </c>
      <c r="AY279" s="419">
        <f>(1+Sensitivity_Asset_Val)*(Complex_Process_Effort*(1+PM_Overhead)*$Q279)</f>
        <v>26.400000000000002</v>
      </c>
      <c r="AZ279" s="419">
        <f>(1+Sensitivity_Asset_Val)*0</f>
        <v>0</v>
      </c>
      <c r="BA279" s="419">
        <f>(1+Sensitivity_Asset_Val)*0</f>
        <v>0</v>
      </c>
      <c r="BB279" s="419">
        <f>(1+Sensitivity_Asset_Val)*(Complex_Process_Effort*(1+PM_Overhead)*$Q279)*TierC_TierB_ratio</f>
        <v>13.200000000000001</v>
      </c>
      <c r="BC279" s="419">
        <f>(1+Sensitivity_Asset_Val)*0</f>
        <v>0</v>
      </c>
      <c r="BD279" s="419">
        <f>BB279</f>
        <v>13.200000000000001</v>
      </c>
      <c r="BE279" s="264"/>
      <c r="BF279" s="515" t="s">
        <v>213</v>
      </c>
      <c r="BG279" s="436"/>
      <c r="BH279" s="374">
        <v>0.4</v>
      </c>
      <c r="BI279" s="487"/>
      <c r="BJ279" s="419">
        <f>(1+Sensitivity_Asset_Val)*(Complex_Process_Effort*(1+PM_Overhead)*$AE279)</f>
        <v>26.400000000000002</v>
      </c>
      <c r="BK279" s="419">
        <f>(1+Sensitivity_Asset_Val)*(Complex_Process_Effort*(1+PM_Overhead)*$AE279)</f>
        <v>26.400000000000002</v>
      </c>
      <c r="BL279" s="419">
        <f>(1+Sensitivity_Asset_Val)*(Complex_Process_Effort*(1+PM_Overhead)*$AE279)</f>
        <v>26.400000000000002</v>
      </c>
      <c r="BM279" s="419">
        <f>(1+Sensitivity_Asset_Val)*(Complex_Process_Effort*(1+PM_Overhead)*$AE279)</f>
        <v>26.400000000000002</v>
      </c>
      <c r="BN279" s="419">
        <f>(1+Sensitivity_Asset_Val)*0</f>
        <v>0</v>
      </c>
      <c r="BO279" s="419">
        <f>(1+Sensitivity_Asset_Val)*0</f>
        <v>0</v>
      </c>
      <c r="BP279" s="419">
        <f>(1+Sensitivity_Asset_Val)*(Complex_Process_Effort*(1+PM_Overhead)*$AE279)*TierC_TierB_ratio</f>
        <v>13.200000000000001</v>
      </c>
      <c r="BQ279" s="419">
        <f>(1+Sensitivity_Asset_Val)*0</f>
        <v>0</v>
      </c>
      <c r="BR279" s="419">
        <f>BP279</f>
        <v>13.200000000000001</v>
      </c>
      <c r="BS279" s="263"/>
      <c r="BT279" s="267"/>
      <c r="BU279" s="267"/>
      <c r="BV279" s="267"/>
      <c r="BW279" s="267"/>
      <c r="BX279" s="267"/>
      <c r="BY279" s="267"/>
      <c r="BZ279" s="267"/>
      <c r="CA279" s="267"/>
      <c r="CB279" s="267"/>
    </row>
    <row r="280" spans="1:80" ht="24" customHeight="1" outlineLevel="1" x14ac:dyDescent="0.2">
      <c r="A280" s="312"/>
      <c r="B280" s="509" t="s">
        <v>113</v>
      </c>
      <c r="C280" s="510" t="s">
        <v>165</v>
      </c>
      <c r="D280" s="515" t="s">
        <v>109</v>
      </c>
      <c r="E280" s="515" t="s">
        <v>139</v>
      </c>
      <c r="F280" s="414" t="s">
        <v>49</v>
      </c>
      <c r="G280" s="413" t="s">
        <v>47</v>
      </c>
      <c r="H280" s="511" t="s">
        <v>118</v>
      </c>
      <c r="I280" s="780"/>
      <c r="J280" s="407"/>
      <c r="K280" s="436"/>
      <c r="L280" s="436"/>
      <c r="M280" s="436"/>
      <c r="N280" s="488"/>
      <c r="O280" s="634"/>
      <c r="P280" s="488"/>
      <c r="Q280" s="488"/>
      <c r="R280" s="488"/>
      <c r="S280" s="374">
        <v>0.2</v>
      </c>
      <c r="T280" s="374">
        <v>0.2</v>
      </c>
      <c r="U280" s="374">
        <v>0.2</v>
      </c>
      <c r="V280" s="374">
        <v>0.2</v>
      </c>
      <c r="W280" s="374">
        <v>0.2</v>
      </c>
      <c r="X280" s="374">
        <v>0.2</v>
      </c>
      <c r="Y280" s="374">
        <v>0.2</v>
      </c>
      <c r="Z280" s="374">
        <v>0.2</v>
      </c>
      <c r="AA280" s="374">
        <v>0.2</v>
      </c>
      <c r="AB280" s="264"/>
      <c r="AC280" s="634"/>
      <c r="AD280" s="436"/>
      <c r="AE280" s="488"/>
      <c r="AF280" s="487"/>
      <c r="AG280" s="374">
        <v>0.2</v>
      </c>
      <c r="AH280" s="374">
        <v>0.2</v>
      </c>
      <c r="AI280" s="374">
        <v>0.2</v>
      </c>
      <c r="AJ280" s="374">
        <v>0.2</v>
      </c>
      <c r="AK280" s="374">
        <v>0.2</v>
      </c>
      <c r="AL280" s="374">
        <v>0.2</v>
      </c>
      <c r="AM280" s="374">
        <v>0.2</v>
      </c>
      <c r="AN280" s="374">
        <v>0.2</v>
      </c>
      <c r="AO280" s="374">
        <v>0.2</v>
      </c>
      <c r="AP280" s="264"/>
      <c r="AQ280" s="264"/>
      <c r="AR280" s="634"/>
      <c r="AS280" s="436"/>
      <c r="AT280" s="488"/>
      <c r="AU280" s="488"/>
      <c r="AV280" s="374">
        <v>0.2</v>
      </c>
      <c r="AW280" s="374">
        <v>0.2</v>
      </c>
      <c r="AX280" s="374">
        <v>0.2</v>
      </c>
      <c r="AY280" s="374">
        <v>0.2</v>
      </c>
      <c r="AZ280" s="374">
        <v>0.2</v>
      </c>
      <c r="BA280" s="374">
        <v>0.2</v>
      </c>
      <c r="BB280" s="374">
        <v>0.2</v>
      </c>
      <c r="BC280" s="374">
        <v>0.2</v>
      </c>
      <c r="BD280" s="374">
        <v>0.2</v>
      </c>
      <c r="BE280" s="264"/>
      <c r="BF280" s="634"/>
      <c r="BG280" s="436"/>
      <c r="BH280" s="488"/>
      <c r="BI280" s="487"/>
      <c r="BJ280" s="374">
        <v>0.2</v>
      </c>
      <c r="BK280" s="374">
        <v>0.2</v>
      </c>
      <c r="BL280" s="374">
        <v>0.2</v>
      </c>
      <c r="BM280" s="374">
        <v>0.2</v>
      </c>
      <c r="BN280" s="374">
        <v>0.2</v>
      </c>
      <c r="BO280" s="374">
        <v>0.2</v>
      </c>
      <c r="BP280" s="374">
        <v>0.2</v>
      </c>
      <c r="BQ280" s="374">
        <v>0.2</v>
      </c>
      <c r="BR280" s="374">
        <v>0.2</v>
      </c>
      <c r="BS280" s="263"/>
      <c r="BT280" s="267"/>
      <c r="BU280" s="267"/>
      <c r="BV280" s="267"/>
      <c r="BW280" s="267"/>
      <c r="BX280" s="267"/>
      <c r="BY280" s="267"/>
      <c r="BZ280" s="267"/>
      <c r="CA280" s="267"/>
      <c r="CB280" s="267"/>
    </row>
    <row r="281" spans="1:80" ht="24" customHeight="1" outlineLevel="1" x14ac:dyDescent="0.2">
      <c r="A281" s="312"/>
      <c r="B281" s="509" t="s">
        <v>113</v>
      </c>
      <c r="C281" s="510" t="s">
        <v>165</v>
      </c>
      <c r="D281" s="515" t="s">
        <v>109</v>
      </c>
      <c r="E281" s="515" t="s">
        <v>139</v>
      </c>
      <c r="F281" s="414" t="s">
        <v>51</v>
      </c>
      <c r="G281" s="413" t="s">
        <v>50</v>
      </c>
      <c r="H281" s="511" t="s">
        <v>117</v>
      </c>
      <c r="I281" s="780"/>
      <c r="J281" s="407"/>
      <c r="K281" s="436"/>
      <c r="L281" s="436"/>
      <c r="M281" s="436"/>
      <c r="N281" s="635"/>
      <c r="O281" s="636" t="s">
        <v>201</v>
      </c>
      <c r="P281" s="635"/>
      <c r="Q281" s="374">
        <v>0.4</v>
      </c>
      <c r="R281" s="635"/>
      <c r="S281" s="419">
        <f>(1+Sensitivity_Asset_Val)*Training_Duration*$Q281</f>
        <v>0.8</v>
      </c>
      <c r="T281" s="419">
        <f>(1+Sensitivity_Asset_Val)*Training_Duration*$Q281</f>
        <v>0.8</v>
      </c>
      <c r="U281" s="419">
        <f>(1+Sensitivity_Asset_Val)*Training_Duration*$Q281</f>
        <v>0.8</v>
      </c>
      <c r="V281" s="419">
        <f>(1+Sensitivity_Asset_Val)*Training_Duration*$Q281</f>
        <v>0.8</v>
      </c>
      <c r="W281" s="419">
        <f>(1+Sensitivity_Asset_Val)*0</f>
        <v>0</v>
      </c>
      <c r="X281" s="419">
        <f>(1+Sensitivity_Asset_Val)*0</f>
        <v>0</v>
      </c>
      <c r="Y281" s="419">
        <f>(1+Sensitivity_Asset_Val)*Training_Duration*$Q281</f>
        <v>0.8</v>
      </c>
      <c r="Z281" s="419">
        <f>(1+Sensitivity_Asset_Val)*Training_Duration*$Q281</f>
        <v>0.8</v>
      </c>
      <c r="AA281" s="419">
        <f>(1+Sensitivity_Asset_Val)*0</f>
        <v>0</v>
      </c>
      <c r="AB281" s="264"/>
      <c r="AC281" s="636" t="s">
        <v>201</v>
      </c>
      <c r="AD281" s="436"/>
      <c r="AE281" s="374">
        <v>0.4</v>
      </c>
      <c r="AF281" s="637"/>
      <c r="AG281" s="419">
        <f>(1+Sensitivity_Asset_Val)*Training_Duration*$AE281</f>
        <v>0.8</v>
      </c>
      <c r="AH281" s="419">
        <f>(1+Sensitivity_Asset_Val)*Training_Duration*$AE281</f>
        <v>0.8</v>
      </c>
      <c r="AI281" s="419">
        <f>(1+Sensitivity_Asset_Val)*Training_Duration*$AE281</f>
        <v>0.8</v>
      </c>
      <c r="AJ281" s="419">
        <f>(1+Sensitivity_Asset_Val)*Training_Duration*$AE281</f>
        <v>0.8</v>
      </c>
      <c r="AK281" s="419">
        <f>(1+Sensitivity_Asset_Val)*0</f>
        <v>0</v>
      </c>
      <c r="AL281" s="419">
        <f>(1+Sensitivity_Asset_Val)*0</f>
        <v>0</v>
      </c>
      <c r="AM281" s="419">
        <f>(1+Sensitivity_Asset_Val)*Training_Duration*$AE281</f>
        <v>0.8</v>
      </c>
      <c r="AN281" s="419">
        <f>(1+Sensitivity_Asset_Val)*Training_Duration*$AE281</f>
        <v>0.8</v>
      </c>
      <c r="AO281" s="419">
        <f>(1+Sensitivity_Asset_Val)*0</f>
        <v>0</v>
      </c>
      <c r="AP281" s="264"/>
      <c r="AQ281" s="264"/>
      <c r="AR281" s="636" t="s">
        <v>201</v>
      </c>
      <c r="AS281" s="436"/>
      <c r="AT281" s="374">
        <v>0.4</v>
      </c>
      <c r="AU281" s="635"/>
      <c r="AV281" s="419">
        <f>(1+Sensitivity_Asset_Val)*Training_Duration*$Q281</f>
        <v>0.8</v>
      </c>
      <c r="AW281" s="419">
        <f>(1+Sensitivity_Asset_Val)*Training_Duration*$Q281</f>
        <v>0.8</v>
      </c>
      <c r="AX281" s="419">
        <f>(1+Sensitivity_Asset_Val)*Training_Duration*$Q281</f>
        <v>0.8</v>
      </c>
      <c r="AY281" s="419">
        <f>(1+Sensitivity_Asset_Val)*Training_Duration*$Q281</f>
        <v>0.8</v>
      </c>
      <c r="AZ281" s="419">
        <f>(1+Sensitivity_Asset_Val)*0</f>
        <v>0</v>
      </c>
      <c r="BA281" s="419">
        <f>(1+Sensitivity_Asset_Val)*0</f>
        <v>0</v>
      </c>
      <c r="BB281" s="419">
        <f>(1+Sensitivity_Asset_Val)*Training_Duration*$Q281</f>
        <v>0.8</v>
      </c>
      <c r="BC281" s="419">
        <f>(1+Sensitivity_Asset_Val)*Training_Duration*$Q281</f>
        <v>0.8</v>
      </c>
      <c r="BD281" s="419">
        <f>(1+Sensitivity_Asset_Val)*0</f>
        <v>0</v>
      </c>
      <c r="BE281" s="264"/>
      <c r="BF281" s="636" t="s">
        <v>201</v>
      </c>
      <c r="BG281" s="436"/>
      <c r="BH281" s="374">
        <v>0.4</v>
      </c>
      <c r="BI281" s="637"/>
      <c r="BJ281" s="419">
        <f>(1+Sensitivity_Asset_Val)*Training_Duration*$AE281</f>
        <v>0.8</v>
      </c>
      <c r="BK281" s="419">
        <f>(1+Sensitivity_Asset_Val)*Training_Duration*$AE281</f>
        <v>0.8</v>
      </c>
      <c r="BL281" s="419">
        <f>(1+Sensitivity_Asset_Val)*Training_Duration*$AE281</f>
        <v>0.8</v>
      </c>
      <c r="BM281" s="419">
        <f>(1+Sensitivity_Asset_Val)*Training_Duration*$AE281</f>
        <v>0.8</v>
      </c>
      <c r="BN281" s="419">
        <f>(1+Sensitivity_Asset_Val)*0</f>
        <v>0</v>
      </c>
      <c r="BO281" s="419">
        <f>(1+Sensitivity_Asset_Val)*0</f>
        <v>0</v>
      </c>
      <c r="BP281" s="419">
        <f>(1+Sensitivity_Asset_Val)*Training_Duration*$AE281</f>
        <v>0.8</v>
      </c>
      <c r="BQ281" s="419">
        <f>(1+Sensitivity_Asset_Val)*Training_Duration*$AE281</f>
        <v>0.8</v>
      </c>
      <c r="BR281" s="419">
        <f>(1+Sensitivity_Asset_Val)*0</f>
        <v>0</v>
      </c>
      <c r="BS281" s="263"/>
      <c r="BT281" s="267"/>
      <c r="BU281" s="267"/>
      <c r="BV281" s="267"/>
      <c r="BW281" s="267"/>
      <c r="BX281" s="267"/>
      <c r="BY281" s="267"/>
      <c r="BZ281" s="267"/>
      <c r="CA281" s="267"/>
      <c r="CB281" s="267"/>
    </row>
    <row r="282" spans="1:80" ht="24" customHeight="1" outlineLevel="1" x14ac:dyDescent="0.2">
      <c r="A282" s="312"/>
      <c r="B282" s="509" t="s">
        <v>113</v>
      </c>
      <c r="C282" s="510" t="s">
        <v>165</v>
      </c>
      <c r="D282" s="515" t="s">
        <v>109</v>
      </c>
      <c r="E282" s="515" t="s">
        <v>139</v>
      </c>
      <c r="F282" s="414" t="s">
        <v>48</v>
      </c>
      <c r="G282" s="413" t="s">
        <v>50</v>
      </c>
      <c r="H282" s="511" t="s">
        <v>153</v>
      </c>
      <c r="I282" s="781"/>
      <c r="J282" s="407"/>
      <c r="K282" s="436"/>
      <c r="L282" s="436"/>
      <c r="M282" s="436"/>
      <c r="N282" s="488"/>
      <c r="O282" s="638" t="s">
        <v>218</v>
      </c>
      <c r="P282" s="488"/>
      <c r="Q282" s="488"/>
      <c r="R282" s="488"/>
      <c r="S282" s="419">
        <v>0</v>
      </c>
      <c r="T282" s="419">
        <v>0</v>
      </c>
      <c r="U282" s="419">
        <v>0</v>
      </c>
      <c r="V282" s="419">
        <v>0</v>
      </c>
      <c r="W282" s="419">
        <v>0</v>
      </c>
      <c r="X282" s="419">
        <v>0</v>
      </c>
      <c r="Y282" s="419">
        <v>0</v>
      </c>
      <c r="Z282" s="419">
        <v>0</v>
      </c>
      <c r="AA282" s="419">
        <v>0</v>
      </c>
      <c r="AB282" s="264"/>
      <c r="AC282" s="638" t="s">
        <v>218</v>
      </c>
      <c r="AD282" s="436"/>
      <c r="AE282" s="488"/>
      <c r="AF282" s="487"/>
      <c r="AG282" s="419">
        <v>0</v>
      </c>
      <c r="AH282" s="419">
        <v>0</v>
      </c>
      <c r="AI282" s="419">
        <v>0</v>
      </c>
      <c r="AJ282" s="419">
        <v>0</v>
      </c>
      <c r="AK282" s="419">
        <v>0</v>
      </c>
      <c r="AL282" s="419">
        <v>0</v>
      </c>
      <c r="AM282" s="419">
        <v>0</v>
      </c>
      <c r="AN282" s="419">
        <v>0</v>
      </c>
      <c r="AO282" s="419">
        <v>0</v>
      </c>
      <c r="AP282" s="264"/>
      <c r="AQ282" s="264"/>
      <c r="AR282" s="638" t="s">
        <v>218</v>
      </c>
      <c r="AS282" s="436"/>
      <c r="AT282" s="488"/>
      <c r="AU282" s="488"/>
      <c r="AV282" s="419">
        <v>0</v>
      </c>
      <c r="AW282" s="419">
        <v>0</v>
      </c>
      <c r="AX282" s="419">
        <v>0</v>
      </c>
      <c r="AY282" s="419">
        <v>0</v>
      </c>
      <c r="AZ282" s="419">
        <v>0</v>
      </c>
      <c r="BA282" s="419">
        <v>0</v>
      </c>
      <c r="BB282" s="419">
        <v>0</v>
      </c>
      <c r="BC282" s="419">
        <v>0</v>
      </c>
      <c r="BD282" s="419">
        <v>0</v>
      </c>
      <c r="BE282" s="264"/>
      <c r="BF282" s="638" t="s">
        <v>218</v>
      </c>
      <c r="BG282" s="436"/>
      <c r="BH282" s="488"/>
      <c r="BI282" s="487"/>
      <c r="BJ282" s="419">
        <v>0</v>
      </c>
      <c r="BK282" s="419">
        <v>0</v>
      </c>
      <c r="BL282" s="419">
        <v>0</v>
      </c>
      <c r="BM282" s="419">
        <v>0</v>
      </c>
      <c r="BN282" s="419">
        <v>0</v>
      </c>
      <c r="BO282" s="419">
        <v>0</v>
      </c>
      <c r="BP282" s="419">
        <v>0</v>
      </c>
      <c r="BQ282" s="419">
        <v>0</v>
      </c>
      <c r="BR282" s="419">
        <v>0</v>
      </c>
      <c r="BS282" s="263"/>
      <c r="BT282" s="267"/>
      <c r="BU282" s="267"/>
      <c r="BV282" s="267"/>
      <c r="BW282" s="267"/>
      <c r="BX282" s="267"/>
      <c r="BY282" s="267"/>
      <c r="BZ282" s="267"/>
      <c r="CA282" s="267"/>
      <c r="CB282" s="267"/>
    </row>
    <row r="283" spans="1:80" ht="24" customHeight="1" outlineLevel="1" x14ac:dyDescent="0.2">
      <c r="A283" s="312"/>
      <c r="B283" s="437" t="s">
        <v>113</v>
      </c>
      <c r="C283" s="171" t="s">
        <v>165</v>
      </c>
      <c r="D283" s="432" t="s">
        <v>109</v>
      </c>
      <c r="E283" s="441" t="s">
        <v>150</v>
      </c>
      <c r="F283" s="433" t="s">
        <v>51</v>
      </c>
      <c r="G283" s="426" t="s">
        <v>50</v>
      </c>
      <c r="H283" s="517" t="s">
        <v>214</v>
      </c>
      <c r="I283" s="741" t="s">
        <v>238</v>
      </c>
      <c r="J283" s="407"/>
      <c r="K283" s="627"/>
      <c r="L283" s="627"/>
      <c r="M283" s="627"/>
      <c r="N283" s="523"/>
      <c r="O283" s="432" t="s">
        <v>212</v>
      </c>
      <c r="P283" s="523"/>
      <c r="Q283" s="374">
        <v>0.1</v>
      </c>
      <c r="R283" s="523"/>
      <c r="S283" s="419">
        <f>(1+Sensitivity_Asset_Val)*(Complex_Process_Effort*(1+PM_Overhead)*$Q283)</f>
        <v>6.6000000000000005</v>
      </c>
      <c r="T283" s="419">
        <f>(1+Sensitivity_Asset_Val)*(Complex_Process_Effort*(1+PM_Overhead)*$Q283)</f>
        <v>6.6000000000000005</v>
      </c>
      <c r="U283" s="419">
        <f>(1+Sensitivity_Asset_Val)*(Complex_Process_Effort*(1+PM_Overhead)*$Q283)</f>
        <v>6.6000000000000005</v>
      </c>
      <c r="V283" s="419">
        <f>(1+Sensitivity_Asset_Val)*(Complex_Process_Effort*(1+PM_Overhead)*$Q283)</f>
        <v>6.6000000000000005</v>
      </c>
      <c r="W283" s="419">
        <f>(1+Sensitivity_Asset_Val)*0</f>
        <v>0</v>
      </c>
      <c r="X283" s="419">
        <f>(1+Sensitivity_Asset_Val)*(Complex_Process_Effort*(1+PM_Overhead)*$Q283)</f>
        <v>6.6000000000000005</v>
      </c>
      <c r="Y283" s="419">
        <f>(1+Sensitivity_Asset_Val)*(Complex_Process_Effort*(1+PM_Overhead)*$Q283)*TierC_TierB_ratio</f>
        <v>3.3000000000000003</v>
      </c>
      <c r="Z283" s="419">
        <f>(1+Sensitivity_Asset_Val)*0</f>
        <v>0</v>
      </c>
      <c r="AA283" s="419">
        <f>Y283</f>
        <v>3.3000000000000003</v>
      </c>
      <c r="AB283" s="264"/>
      <c r="AC283" s="432" t="s">
        <v>212</v>
      </c>
      <c r="AD283" s="627"/>
      <c r="AE283" s="374">
        <v>0.1</v>
      </c>
      <c r="AF283" s="628"/>
      <c r="AG283" s="419">
        <f>(1+Sensitivity_Asset_Val)*(Complex_Process_Effort*(1+PM_Overhead)*$AE283)</f>
        <v>6.6000000000000005</v>
      </c>
      <c r="AH283" s="419">
        <f>(1+Sensitivity_Asset_Val)*(Complex_Process_Effort*(1+PM_Overhead)*$AE283)</f>
        <v>6.6000000000000005</v>
      </c>
      <c r="AI283" s="419">
        <f>(1+Sensitivity_Asset_Val)*(Complex_Process_Effort*(1+PM_Overhead)*$AE283)</f>
        <v>6.6000000000000005</v>
      </c>
      <c r="AJ283" s="419">
        <f>(1+Sensitivity_Asset_Val)*(Complex_Process_Effort*(1+PM_Overhead)*$AE283)</f>
        <v>6.6000000000000005</v>
      </c>
      <c r="AK283" s="419">
        <f>(1+Sensitivity_Asset_Val)*0</f>
        <v>0</v>
      </c>
      <c r="AL283" s="419">
        <f>(1+Sensitivity_Asset_Val)*0</f>
        <v>0</v>
      </c>
      <c r="AM283" s="419">
        <f>(1+Sensitivity_Asset_Val)*(Complex_Process_Effort*(1+PM_Overhead)*$AE283)*TierC_TierB_ratio</f>
        <v>3.3000000000000003</v>
      </c>
      <c r="AN283" s="419">
        <f>(1+Sensitivity_Asset_Val)*0</f>
        <v>0</v>
      </c>
      <c r="AO283" s="419">
        <f>AM283</f>
        <v>3.3000000000000003</v>
      </c>
      <c r="AP283" s="264"/>
      <c r="AQ283" s="264"/>
      <c r="AR283" s="432" t="s">
        <v>212</v>
      </c>
      <c r="AS283" s="627"/>
      <c r="AT283" s="374">
        <v>0.1</v>
      </c>
      <c r="AU283" s="523"/>
      <c r="AV283" s="419">
        <f>(1+Sensitivity_Asset_Val)*(Complex_Process_Effort*(1+PM_Overhead)*$Q283)</f>
        <v>6.6000000000000005</v>
      </c>
      <c r="AW283" s="419">
        <f>(1+Sensitivity_Asset_Val)*(Complex_Process_Effort*(1+PM_Overhead)*$Q283)</f>
        <v>6.6000000000000005</v>
      </c>
      <c r="AX283" s="419">
        <f>(1+Sensitivity_Asset_Val)*(Complex_Process_Effort*(1+PM_Overhead)*$Q283)</f>
        <v>6.6000000000000005</v>
      </c>
      <c r="AY283" s="419">
        <f>(1+Sensitivity_Asset_Val)*(Complex_Process_Effort*(1+PM_Overhead)*$Q283)</f>
        <v>6.6000000000000005</v>
      </c>
      <c r="AZ283" s="419">
        <f>(1+Sensitivity_Asset_Val)*0</f>
        <v>0</v>
      </c>
      <c r="BA283" s="419">
        <f>(1+Sensitivity_Asset_Val)*(Complex_Process_Effort*(1+PM_Overhead)*$Q283)</f>
        <v>6.6000000000000005</v>
      </c>
      <c r="BB283" s="419">
        <f>(1+Sensitivity_Asset_Val)*(Complex_Process_Effort*(1+PM_Overhead)*$Q283)*TierC_TierB_ratio</f>
        <v>3.3000000000000003</v>
      </c>
      <c r="BC283" s="419">
        <f>(1+Sensitivity_Asset_Val)*0</f>
        <v>0</v>
      </c>
      <c r="BD283" s="419">
        <f>BB283</f>
        <v>3.3000000000000003</v>
      </c>
      <c r="BE283" s="264"/>
      <c r="BF283" s="432" t="s">
        <v>212</v>
      </c>
      <c r="BG283" s="627"/>
      <c r="BH283" s="374">
        <v>0.1</v>
      </c>
      <c r="BI283" s="628"/>
      <c r="BJ283" s="419">
        <f>(1+Sensitivity_Asset_Val)*(Complex_Process_Effort*(1+PM_Overhead)*$AE283)</f>
        <v>6.6000000000000005</v>
      </c>
      <c r="BK283" s="419">
        <f>(1+Sensitivity_Asset_Val)*(Complex_Process_Effort*(1+PM_Overhead)*$AE283)</f>
        <v>6.6000000000000005</v>
      </c>
      <c r="BL283" s="419">
        <f>(1+Sensitivity_Asset_Val)*(Complex_Process_Effort*(1+PM_Overhead)*$AE283)</f>
        <v>6.6000000000000005</v>
      </c>
      <c r="BM283" s="419">
        <f>(1+Sensitivity_Asset_Val)*(Complex_Process_Effort*(1+PM_Overhead)*$AE283)</f>
        <v>6.6000000000000005</v>
      </c>
      <c r="BN283" s="419">
        <f>(1+Sensitivity_Asset_Val)*0</f>
        <v>0</v>
      </c>
      <c r="BO283" s="419">
        <f>(1+Sensitivity_Asset_Val)*0</f>
        <v>0</v>
      </c>
      <c r="BP283" s="419">
        <f>(1+Sensitivity_Asset_Val)*(Complex_Process_Effort*(1+PM_Overhead)*$AE283)*TierC_TierB_ratio</f>
        <v>3.3000000000000003</v>
      </c>
      <c r="BQ283" s="419">
        <f>(1+Sensitivity_Asset_Val)*0</f>
        <v>0</v>
      </c>
      <c r="BR283" s="419">
        <f>BP283</f>
        <v>3.3000000000000003</v>
      </c>
      <c r="BS283" s="263"/>
      <c r="BT283" s="267"/>
      <c r="BU283" s="267"/>
      <c r="BV283" s="267"/>
      <c r="BW283" s="267"/>
      <c r="BX283" s="267"/>
      <c r="BY283" s="267"/>
      <c r="BZ283" s="267"/>
      <c r="CA283" s="267"/>
      <c r="CB283" s="267"/>
    </row>
    <row r="284" spans="1:80" ht="24" customHeight="1" outlineLevel="1" x14ac:dyDescent="0.2">
      <c r="A284" s="312"/>
      <c r="B284" s="437" t="s">
        <v>113</v>
      </c>
      <c r="C284" s="171" t="s">
        <v>165</v>
      </c>
      <c r="D284" s="432" t="s">
        <v>109</v>
      </c>
      <c r="E284" s="441" t="s">
        <v>150</v>
      </c>
      <c r="F284" s="433" t="s">
        <v>49</v>
      </c>
      <c r="G284" s="426" t="s">
        <v>47</v>
      </c>
      <c r="H284" s="517" t="s">
        <v>118</v>
      </c>
      <c r="I284" s="742"/>
      <c r="J284" s="407"/>
      <c r="K284" s="627"/>
      <c r="L284" s="627"/>
      <c r="M284" s="627"/>
      <c r="N284" s="523"/>
      <c r="O284" s="639"/>
      <c r="P284" s="523"/>
      <c r="Q284" s="523"/>
      <c r="R284" s="523"/>
      <c r="S284" s="374">
        <v>0.2</v>
      </c>
      <c r="T284" s="374">
        <v>0.2</v>
      </c>
      <c r="U284" s="374">
        <v>0.2</v>
      </c>
      <c r="V284" s="374">
        <v>0.2</v>
      </c>
      <c r="W284" s="374">
        <v>0.2</v>
      </c>
      <c r="X284" s="374">
        <v>0.2</v>
      </c>
      <c r="Y284" s="374">
        <v>0.2</v>
      </c>
      <c r="Z284" s="374">
        <v>0.2</v>
      </c>
      <c r="AA284" s="374">
        <v>0.2</v>
      </c>
      <c r="AB284" s="264"/>
      <c r="AC284" s="639"/>
      <c r="AD284" s="627"/>
      <c r="AE284" s="523"/>
      <c r="AF284" s="628"/>
      <c r="AG284" s="374">
        <v>0.2</v>
      </c>
      <c r="AH284" s="374">
        <v>0.2</v>
      </c>
      <c r="AI284" s="374">
        <v>0.2</v>
      </c>
      <c r="AJ284" s="374">
        <v>0.2</v>
      </c>
      <c r="AK284" s="374">
        <v>0.2</v>
      </c>
      <c r="AL284" s="374">
        <v>0.2</v>
      </c>
      <c r="AM284" s="374">
        <v>0.2</v>
      </c>
      <c r="AN284" s="374">
        <v>0.2</v>
      </c>
      <c r="AO284" s="374">
        <v>0.2</v>
      </c>
      <c r="AP284" s="264"/>
      <c r="AQ284" s="264"/>
      <c r="AR284" s="639"/>
      <c r="AS284" s="627"/>
      <c r="AT284" s="523"/>
      <c r="AU284" s="523"/>
      <c r="AV284" s="374">
        <v>0.2</v>
      </c>
      <c r="AW284" s="374">
        <v>0.2</v>
      </c>
      <c r="AX284" s="374">
        <v>0.2</v>
      </c>
      <c r="AY284" s="374">
        <v>0.2</v>
      </c>
      <c r="AZ284" s="374">
        <v>0.2</v>
      </c>
      <c r="BA284" s="374">
        <v>0.2</v>
      </c>
      <c r="BB284" s="374">
        <v>0.2</v>
      </c>
      <c r="BC284" s="374">
        <v>0.2</v>
      </c>
      <c r="BD284" s="374">
        <v>0.2</v>
      </c>
      <c r="BE284" s="264"/>
      <c r="BF284" s="639"/>
      <c r="BG284" s="627"/>
      <c r="BH284" s="523"/>
      <c r="BI284" s="628"/>
      <c r="BJ284" s="374">
        <v>0.2</v>
      </c>
      <c r="BK284" s="374">
        <v>0.2</v>
      </c>
      <c r="BL284" s="374">
        <v>0.2</v>
      </c>
      <c r="BM284" s="374">
        <v>0.2</v>
      </c>
      <c r="BN284" s="374">
        <v>0.2</v>
      </c>
      <c r="BO284" s="374">
        <v>0.2</v>
      </c>
      <c r="BP284" s="374">
        <v>0.2</v>
      </c>
      <c r="BQ284" s="374">
        <v>0.2</v>
      </c>
      <c r="BR284" s="374">
        <v>0.2</v>
      </c>
      <c r="BS284" s="263"/>
      <c r="BT284" s="267"/>
      <c r="BU284" s="267"/>
      <c r="BV284" s="267"/>
      <c r="BW284" s="267"/>
      <c r="BX284" s="267"/>
      <c r="BY284" s="267"/>
      <c r="BZ284" s="267"/>
      <c r="CA284" s="267"/>
      <c r="CB284" s="267"/>
    </row>
    <row r="285" spans="1:80" ht="24" customHeight="1" outlineLevel="1" x14ac:dyDescent="0.2">
      <c r="A285" s="312"/>
      <c r="B285" s="437" t="s">
        <v>113</v>
      </c>
      <c r="C285" s="171" t="s">
        <v>165</v>
      </c>
      <c r="D285" s="432" t="s">
        <v>109</v>
      </c>
      <c r="E285" s="441" t="s">
        <v>150</v>
      </c>
      <c r="F285" s="433" t="s">
        <v>51</v>
      </c>
      <c r="G285" s="426" t="s">
        <v>50</v>
      </c>
      <c r="H285" s="517" t="s">
        <v>117</v>
      </c>
      <c r="I285" s="742"/>
      <c r="J285" s="407"/>
      <c r="K285" s="627"/>
      <c r="L285" s="627"/>
      <c r="M285" s="627"/>
      <c r="N285" s="205"/>
      <c r="O285" s="640"/>
      <c r="P285" s="205"/>
      <c r="Q285" s="374">
        <v>0.1</v>
      </c>
      <c r="R285" s="205"/>
      <c r="S285" s="419">
        <f>(1+Sensitivity_Asset_Val)*Training_Duration*$Q285</f>
        <v>0.2</v>
      </c>
      <c r="T285" s="419">
        <f>(1+Sensitivity_Asset_Val)*Training_Duration*$Q285</f>
        <v>0.2</v>
      </c>
      <c r="U285" s="419">
        <f>(1+Sensitivity_Asset_Val)*Training_Duration*$Q285</f>
        <v>0.2</v>
      </c>
      <c r="V285" s="419">
        <f>(1+Sensitivity_Asset_Val)*Training_Duration*$Q285</f>
        <v>0.2</v>
      </c>
      <c r="W285" s="419">
        <f>(1+Sensitivity_Asset_Val)*0</f>
        <v>0</v>
      </c>
      <c r="X285" s="419">
        <f>(1+Sensitivity_Asset_Val)*Training_Duration*$Q285</f>
        <v>0.2</v>
      </c>
      <c r="Y285" s="419">
        <f>(1+Sensitivity_Asset_Val)*Training_Duration*$Q285</f>
        <v>0.2</v>
      </c>
      <c r="Z285" s="419">
        <f>(1+Sensitivity_Asset_Val)*Training_Duration*$Q285</f>
        <v>0.2</v>
      </c>
      <c r="AA285" s="419">
        <f>(1+Sensitivity_Asset_Val)*0</f>
        <v>0</v>
      </c>
      <c r="AB285" s="264"/>
      <c r="AC285" s="640"/>
      <c r="AD285" s="627"/>
      <c r="AE285" s="374">
        <v>0.1</v>
      </c>
      <c r="AF285" s="630"/>
      <c r="AG285" s="419">
        <f>(1+Sensitivity_Asset_Val)*Training_Duration*$AE285</f>
        <v>0.2</v>
      </c>
      <c r="AH285" s="419">
        <f>(1+Sensitivity_Asset_Val)*Training_Duration*$AE285</f>
        <v>0.2</v>
      </c>
      <c r="AI285" s="419">
        <f>(1+Sensitivity_Asset_Val)*Training_Duration*$AE285</f>
        <v>0.2</v>
      </c>
      <c r="AJ285" s="419">
        <f>(1+Sensitivity_Asset_Val)*Training_Duration*$AE285</f>
        <v>0.2</v>
      </c>
      <c r="AK285" s="419">
        <f>(1+Sensitivity_Asset_Val)*0</f>
        <v>0</v>
      </c>
      <c r="AL285" s="419">
        <f>(1+Sensitivity_Asset_Val)*0</f>
        <v>0</v>
      </c>
      <c r="AM285" s="419">
        <f>(1+Sensitivity_Asset_Val)*Training_Duration*$AE285</f>
        <v>0.2</v>
      </c>
      <c r="AN285" s="419">
        <f>(1+Sensitivity_Asset_Val)*Training_Duration*$AE285</f>
        <v>0.2</v>
      </c>
      <c r="AO285" s="419">
        <f>(1+Sensitivity_Asset_Val)*0</f>
        <v>0</v>
      </c>
      <c r="AP285" s="264"/>
      <c r="AQ285" s="264"/>
      <c r="AR285" s="640"/>
      <c r="AS285" s="627"/>
      <c r="AT285" s="374">
        <v>0.1</v>
      </c>
      <c r="AU285" s="205"/>
      <c r="AV285" s="419">
        <f>(1+Sensitivity_Asset_Val)*Training_Duration*$Q285</f>
        <v>0.2</v>
      </c>
      <c r="AW285" s="419">
        <f>(1+Sensitivity_Asset_Val)*Training_Duration*$Q285</f>
        <v>0.2</v>
      </c>
      <c r="AX285" s="419">
        <f>(1+Sensitivity_Asset_Val)*Training_Duration*$Q285</f>
        <v>0.2</v>
      </c>
      <c r="AY285" s="419">
        <f>(1+Sensitivity_Asset_Val)*Training_Duration*$Q285</f>
        <v>0.2</v>
      </c>
      <c r="AZ285" s="419">
        <f>(1+Sensitivity_Asset_Val)*0</f>
        <v>0</v>
      </c>
      <c r="BA285" s="419">
        <f>(1+Sensitivity_Asset_Val)*Training_Duration*$Q285</f>
        <v>0.2</v>
      </c>
      <c r="BB285" s="419">
        <f>(1+Sensitivity_Asset_Val)*Training_Duration*$Q285</f>
        <v>0.2</v>
      </c>
      <c r="BC285" s="419">
        <f>(1+Sensitivity_Asset_Val)*Training_Duration*$Q285</f>
        <v>0.2</v>
      </c>
      <c r="BD285" s="419">
        <f>(1+Sensitivity_Asset_Val)*0</f>
        <v>0</v>
      </c>
      <c r="BE285" s="264"/>
      <c r="BF285" s="640"/>
      <c r="BG285" s="627"/>
      <c r="BH285" s="374">
        <v>0.1</v>
      </c>
      <c r="BI285" s="630"/>
      <c r="BJ285" s="419">
        <f>(1+Sensitivity_Asset_Val)*Training_Duration*$AE285</f>
        <v>0.2</v>
      </c>
      <c r="BK285" s="419">
        <f>(1+Sensitivity_Asset_Val)*Training_Duration*$AE285</f>
        <v>0.2</v>
      </c>
      <c r="BL285" s="419">
        <f>(1+Sensitivity_Asset_Val)*Training_Duration*$AE285</f>
        <v>0.2</v>
      </c>
      <c r="BM285" s="419">
        <f>(1+Sensitivity_Asset_Val)*Training_Duration*$AE285</f>
        <v>0.2</v>
      </c>
      <c r="BN285" s="419">
        <f>(1+Sensitivity_Asset_Val)*0</f>
        <v>0</v>
      </c>
      <c r="BO285" s="419">
        <f>(1+Sensitivity_Asset_Val)*0</f>
        <v>0</v>
      </c>
      <c r="BP285" s="419">
        <f>(1+Sensitivity_Asset_Val)*Training_Duration*$AE285</f>
        <v>0.2</v>
      </c>
      <c r="BQ285" s="419">
        <f>(1+Sensitivity_Asset_Val)*Training_Duration*$AE285</f>
        <v>0.2</v>
      </c>
      <c r="BR285" s="419">
        <f>(1+Sensitivity_Asset_Val)*0</f>
        <v>0</v>
      </c>
      <c r="BS285" s="263"/>
      <c r="BT285" s="267"/>
      <c r="BU285" s="267"/>
      <c r="BV285" s="267"/>
      <c r="BW285" s="267"/>
      <c r="BX285" s="267"/>
      <c r="BY285" s="267"/>
      <c r="BZ285" s="267"/>
      <c r="CA285" s="267"/>
      <c r="CB285" s="267"/>
    </row>
    <row r="286" spans="1:80" ht="24" customHeight="1" outlineLevel="1" x14ac:dyDescent="0.2">
      <c r="A286" s="312"/>
      <c r="B286" s="437" t="s">
        <v>113</v>
      </c>
      <c r="C286" s="171" t="s">
        <v>165</v>
      </c>
      <c r="D286" s="432" t="s">
        <v>109</v>
      </c>
      <c r="E286" s="441" t="s">
        <v>150</v>
      </c>
      <c r="F286" s="433" t="s">
        <v>48</v>
      </c>
      <c r="G286" s="426" t="s">
        <v>50</v>
      </c>
      <c r="H286" s="517" t="s">
        <v>155</v>
      </c>
      <c r="I286" s="743"/>
      <c r="J286" s="407"/>
      <c r="K286" s="627"/>
      <c r="L286" s="627"/>
      <c r="M286" s="627"/>
      <c r="N286" s="523"/>
      <c r="O286" s="562" t="s">
        <v>218</v>
      </c>
      <c r="P286" s="523"/>
      <c r="Q286" s="523"/>
      <c r="R286" s="523"/>
      <c r="S286" s="419">
        <v>0</v>
      </c>
      <c r="T286" s="419">
        <v>0</v>
      </c>
      <c r="U286" s="419">
        <v>0</v>
      </c>
      <c r="V286" s="419">
        <v>0</v>
      </c>
      <c r="W286" s="419">
        <v>0</v>
      </c>
      <c r="X286" s="419">
        <v>0</v>
      </c>
      <c r="Y286" s="419">
        <v>0</v>
      </c>
      <c r="Z286" s="419">
        <v>0</v>
      </c>
      <c r="AA286" s="419">
        <v>0</v>
      </c>
      <c r="AB286" s="264"/>
      <c r="AC286" s="562" t="s">
        <v>218</v>
      </c>
      <c r="AD286" s="627"/>
      <c r="AE286" s="523"/>
      <c r="AF286" s="628"/>
      <c r="AG286" s="419">
        <v>0</v>
      </c>
      <c r="AH286" s="419">
        <v>0</v>
      </c>
      <c r="AI286" s="419">
        <v>0</v>
      </c>
      <c r="AJ286" s="419">
        <v>0</v>
      </c>
      <c r="AK286" s="419">
        <v>0</v>
      </c>
      <c r="AL286" s="419">
        <v>0</v>
      </c>
      <c r="AM286" s="419">
        <v>0</v>
      </c>
      <c r="AN286" s="419">
        <v>0</v>
      </c>
      <c r="AO286" s="419">
        <v>0</v>
      </c>
      <c r="AP286" s="264"/>
      <c r="AQ286" s="264"/>
      <c r="AR286" s="562" t="s">
        <v>218</v>
      </c>
      <c r="AS286" s="627"/>
      <c r="AT286" s="523"/>
      <c r="AU286" s="523"/>
      <c r="AV286" s="419">
        <v>0</v>
      </c>
      <c r="AW286" s="419">
        <v>0</v>
      </c>
      <c r="AX286" s="419">
        <v>0</v>
      </c>
      <c r="AY286" s="419">
        <v>0</v>
      </c>
      <c r="AZ286" s="419">
        <v>0</v>
      </c>
      <c r="BA286" s="419">
        <v>0</v>
      </c>
      <c r="BB286" s="419">
        <v>0</v>
      </c>
      <c r="BC286" s="419">
        <v>0</v>
      </c>
      <c r="BD286" s="419">
        <v>0</v>
      </c>
      <c r="BE286" s="264"/>
      <c r="BF286" s="562" t="s">
        <v>218</v>
      </c>
      <c r="BG286" s="627"/>
      <c r="BH286" s="523"/>
      <c r="BI286" s="628"/>
      <c r="BJ286" s="419">
        <v>0</v>
      </c>
      <c r="BK286" s="419">
        <v>0</v>
      </c>
      <c r="BL286" s="419">
        <v>0</v>
      </c>
      <c r="BM286" s="419">
        <v>0</v>
      </c>
      <c r="BN286" s="419">
        <v>0</v>
      </c>
      <c r="BO286" s="419">
        <v>0</v>
      </c>
      <c r="BP286" s="419">
        <v>0</v>
      </c>
      <c r="BQ286" s="419">
        <v>0</v>
      </c>
      <c r="BR286" s="419">
        <v>0</v>
      </c>
      <c r="BS286" s="263"/>
      <c r="BT286" s="267"/>
      <c r="BU286" s="267"/>
      <c r="BV286" s="267"/>
      <c r="BW286" s="267"/>
      <c r="BX286" s="267"/>
      <c r="BY286" s="267"/>
      <c r="BZ286" s="267"/>
      <c r="CA286" s="267"/>
      <c r="CB286" s="267"/>
    </row>
    <row r="287" spans="1:80" s="135" customFormat="1" ht="24" customHeight="1" outlineLevel="1" x14ac:dyDescent="0.2">
      <c r="A287" s="315"/>
      <c r="B287" s="437"/>
      <c r="C287" s="171"/>
      <c r="D287" s="560"/>
      <c r="E287" s="98"/>
      <c r="F287" s="523"/>
      <c r="G287" s="488"/>
      <c r="H287" s="484" t="s">
        <v>205</v>
      </c>
      <c r="I287" s="358"/>
      <c r="J287" s="407"/>
      <c r="K287" s="627"/>
      <c r="L287" s="627"/>
      <c r="M287" s="627"/>
      <c r="N287" s="523"/>
      <c r="O287" s="641"/>
      <c r="P287" s="523"/>
      <c r="Q287" s="642">
        <f>SUMIF($H$271:$H$286,$H$271,Q$271:Q$286)</f>
        <v>1</v>
      </c>
      <c r="R287" s="523"/>
      <c r="S287" s="526">
        <f>SUMIF($H$271:$H$286,$H$271,S$271:S$286)</f>
        <v>66</v>
      </c>
      <c r="T287" s="526">
        <f t="shared" ref="T287:AA287" si="255">SUMIF($H$271:$H$286,$H$271,T$271:T$286)</f>
        <v>66</v>
      </c>
      <c r="U287" s="526">
        <f t="shared" si="255"/>
        <v>66</v>
      </c>
      <c r="V287" s="526">
        <f t="shared" si="255"/>
        <v>66</v>
      </c>
      <c r="W287" s="526">
        <f t="shared" si="255"/>
        <v>0</v>
      </c>
      <c r="X287" s="526">
        <f t="shared" si="255"/>
        <v>6.6000000000000005</v>
      </c>
      <c r="Y287" s="526">
        <f t="shared" si="255"/>
        <v>33</v>
      </c>
      <c r="Z287" s="526">
        <f t="shared" si="255"/>
        <v>0</v>
      </c>
      <c r="AA287" s="526">
        <f t="shared" si="255"/>
        <v>33</v>
      </c>
      <c r="AB287" s="264"/>
      <c r="AC287" s="641"/>
      <c r="AD287" s="627"/>
      <c r="AE287" s="642">
        <f>SUMIF($H$271:$H$286,$H$271,AE$271:AE$286)</f>
        <v>1</v>
      </c>
      <c r="AF287" s="523"/>
      <c r="AG287" s="526">
        <f>SUMIF($H$271:$H$286,$H$271,AG$271:AG$286)</f>
        <v>66</v>
      </c>
      <c r="AH287" s="526">
        <f t="shared" ref="AH287:AO287" si="256">SUMIF($H$271:$H$286,$H$271,AH$271:AH$286)</f>
        <v>66</v>
      </c>
      <c r="AI287" s="526">
        <f t="shared" si="256"/>
        <v>66</v>
      </c>
      <c r="AJ287" s="526">
        <f t="shared" si="256"/>
        <v>66</v>
      </c>
      <c r="AK287" s="526">
        <f t="shared" si="256"/>
        <v>0</v>
      </c>
      <c r="AL287" s="526">
        <f t="shared" si="256"/>
        <v>0</v>
      </c>
      <c r="AM287" s="526">
        <f t="shared" si="256"/>
        <v>33</v>
      </c>
      <c r="AN287" s="526">
        <f t="shared" si="256"/>
        <v>0</v>
      </c>
      <c r="AO287" s="526">
        <f t="shared" si="256"/>
        <v>33</v>
      </c>
      <c r="AP287" s="264"/>
      <c r="AQ287" s="264"/>
      <c r="AR287" s="641"/>
      <c r="AS287" s="627"/>
      <c r="AT287" s="642">
        <f>SUMIF($H$271:$H$286,$H$271,AT$271:AT$286)</f>
        <v>1</v>
      </c>
      <c r="AU287" s="523"/>
      <c r="AV287" s="526">
        <f>SUMIF($H$271:$H$286,$H$271,AV$271:AV$286)</f>
        <v>66</v>
      </c>
      <c r="AW287" s="526">
        <f t="shared" ref="AW287:BD287" si="257">SUMIF($H$271:$H$286,$H$271,AW$271:AW$286)</f>
        <v>66</v>
      </c>
      <c r="AX287" s="526">
        <f t="shared" si="257"/>
        <v>66</v>
      </c>
      <c r="AY287" s="526">
        <f t="shared" si="257"/>
        <v>66</v>
      </c>
      <c r="AZ287" s="526">
        <f t="shared" si="257"/>
        <v>0</v>
      </c>
      <c r="BA287" s="526">
        <f t="shared" si="257"/>
        <v>6.6000000000000005</v>
      </c>
      <c r="BB287" s="526">
        <f t="shared" si="257"/>
        <v>33</v>
      </c>
      <c r="BC287" s="526">
        <f t="shared" si="257"/>
        <v>0</v>
      </c>
      <c r="BD287" s="526">
        <f t="shared" si="257"/>
        <v>33</v>
      </c>
      <c r="BE287" s="264"/>
      <c r="BF287" s="641"/>
      <c r="BG287" s="627"/>
      <c r="BH287" s="642">
        <f>SUMIF($H$271:$H$286,$H$271,BH$271:BH$286)</f>
        <v>1</v>
      </c>
      <c r="BI287" s="523"/>
      <c r="BJ287" s="526">
        <f>SUMIF($H$271:$H$286,$H$271,BJ$271:BJ$286)</f>
        <v>66</v>
      </c>
      <c r="BK287" s="526">
        <f t="shared" ref="BK287:BR287" si="258">SUMIF($H$271:$H$286,$H$271,BK$271:BK$286)</f>
        <v>66</v>
      </c>
      <c r="BL287" s="526">
        <f t="shared" si="258"/>
        <v>66</v>
      </c>
      <c r="BM287" s="526">
        <f t="shared" si="258"/>
        <v>66</v>
      </c>
      <c r="BN287" s="526">
        <f t="shared" si="258"/>
        <v>0</v>
      </c>
      <c r="BO287" s="526">
        <f t="shared" si="258"/>
        <v>0</v>
      </c>
      <c r="BP287" s="526">
        <f t="shared" si="258"/>
        <v>33</v>
      </c>
      <c r="BQ287" s="526">
        <f t="shared" si="258"/>
        <v>0</v>
      </c>
      <c r="BR287" s="526">
        <f t="shared" si="258"/>
        <v>33</v>
      </c>
      <c r="BS287" s="265"/>
      <c r="BT287" s="267"/>
      <c r="BU287" s="267"/>
      <c r="BV287" s="267"/>
      <c r="BW287" s="267"/>
      <c r="BX287" s="267"/>
      <c r="BY287" s="267"/>
      <c r="BZ287" s="267"/>
      <c r="CA287" s="267"/>
      <c r="CB287" s="267"/>
    </row>
    <row r="288" spans="1:80" ht="24" customHeight="1" outlineLevel="1" x14ac:dyDescent="0.2">
      <c r="A288" s="312"/>
      <c r="B288" s="437"/>
      <c r="C288" s="171"/>
      <c r="D288" s="560"/>
      <c r="E288" s="98"/>
      <c r="F288" s="523"/>
      <c r="G288" s="488"/>
      <c r="H288" s="484" t="s">
        <v>216</v>
      </c>
      <c r="I288" s="358"/>
      <c r="J288" s="407"/>
      <c r="K288" s="627"/>
      <c r="L288" s="627"/>
      <c r="M288" s="627"/>
      <c r="N288" s="523"/>
      <c r="O288" s="641"/>
      <c r="P288" s="523"/>
      <c r="Q288" s="642">
        <f>SUMIF($H$271:$H$286,$H$273,Q$271:Q$286)</f>
        <v>1</v>
      </c>
      <c r="R288" s="523"/>
      <c r="S288" s="526">
        <f>SUMIF($H$271:$H$286,$H$273,S$271:S$286)</f>
        <v>2</v>
      </c>
      <c r="T288" s="526">
        <f t="shared" ref="T288:AA288" si="259">SUMIF($H$271:$H$286,$H$273,T$271:T$286)</f>
        <v>2</v>
      </c>
      <c r="U288" s="526">
        <f t="shared" si="259"/>
        <v>2</v>
      </c>
      <c r="V288" s="526">
        <f t="shared" si="259"/>
        <v>2</v>
      </c>
      <c r="W288" s="526">
        <f t="shared" si="259"/>
        <v>0</v>
      </c>
      <c r="X288" s="526">
        <f t="shared" si="259"/>
        <v>0.2</v>
      </c>
      <c r="Y288" s="526">
        <f t="shared" si="259"/>
        <v>2</v>
      </c>
      <c r="Z288" s="526">
        <f t="shared" si="259"/>
        <v>2</v>
      </c>
      <c r="AA288" s="526">
        <f t="shared" si="259"/>
        <v>0</v>
      </c>
      <c r="AB288" s="264"/>
      <c r="AC288" s="641"/>
      <c r="AD288" s="627"/>
      <c r="AE288" s="642">
        <f>SUMIF($H$271:$H$286,$H$273,AE$271:AE$286)</f>
        <v>1</v>
      </c>
      <c r="AF288" s="523"/>
      <c r="AG288" s="526">
        <f>SUMIF($H$271:$H$286,$H$273,AG$271:AG$286)</f>
        <v>2</v>
      </c>
      <c r="AH288" s="526">
        <f t="shared" ref="AH288:AO288" si="260">SUMIF($H$271:$H$286,$H$273,AH$271:AH$286)</f>
        <v>2</v>
      </c>
      <c r="AI288" s="526">
        <f t="shared" si="260"/>
        <v>2</v>
      </c>
      <c r="AJ288" s="526">
        <f t="shared" si="260"/>
        <v>2</v>
      </c>
      <c r="AK288" s="526">
        <f t="shared" si="260"/>
        <v>0</v>
      </c>
      <c r="AL288" s="526">
        <f t="shared" si="260"/>
        <v>0</v>
      </c>
      <c r="AM288" s="526">
        <f t="shared" si="260"/>
        <v>2</v>
      </c>
      <c r="AN288" s="526">
        <f t="shared" si="260"/>
        <v>2</v>
      </c>
      <c r="AO288" s="526">
        <f t="shared" si="260"/>
        <v>0</v>
      </c>
      <c r="AP288" s="264"/>
      <c r="AQ288" s="264"/>
      <c r="AR288" s="641"/>
      <c r="AS288" s="627"/>
      <c r="AT288" s="642">
        <f>SUMIF($H$271:$H$286,$H$273,AT$271:AT$286)</f>
        <v>1</v>
      </c>
      <c r="AU288" s="523"/>
      <c r="AV288" s="526">
        <f>SUMIF($H$271:$H$286,$H$273,AV$271:AV$286)</f>
        <v>2</v>
      </c>
      <c r="AW288" s="526">
        <f t="shared" ref="AW288:BD288" si="261">SUMIF($H$271:$H$286,$H$273,AW$271:AW$286)</f>
        <v>2</v>
      </c>
      <c r="AX288" s="526">
        <f t="shared" si="261"/>
        <v>2</v>
      </c>
      <c r="AY288" s="526">
        <f t="shared" si="261"/>
        <v>2</v>
      </c>
      <c r="AZ288" s="526">
        <f t="shared" si="261"/>
        <v>0</v>
      </c>
      <c r="BA288" s="526">
        <f t="shared" si="261"/>
        <v>0.2</v>
      </c>
      <c r="BB288" s="526">
        <f t="shared" si="261"/>
        <v>2</v>
      </c>
      <c r="BC288" s="526">
        <f t="shared" si="261"/>
        <v>2</v>
      </c>
      <c r="BD288" s="526">
        <f t="shared" si="261"/>
        <v>0</v>
      </c>
      <c r="BE288" s="264"/>
      <c r="BF288" s="641"/>
      <c r="BG288" s="627"/>
      <c r="BH288" s="642">
        <f>SUMIF($H$271:$H$286,$H$273,BH$271:BH$286)</f>
        <v>1</v>
      </c>
      <c r="BI288" s="523"/>
      <c r="BJ288" s="526">
        <f>SUMIF($H$271:$H$286,$H$273,BJ$271:BJ$286)</f>
        <v>2</v>
      </c>
      <c r="BK288" s="526">
        <f t="shared" ref="BK288:BR288" si="262">SUMIF($H$271:$H$286,$H$273,BK$271:BK$286)</f>
        <v>2</v>
      </c>
      <c r="BL288" s="526">
        <f t="shared" si="262"/>
        <v>2</v>
      </c>
      <c r="BM288" s="526">
        <f t="shared" si="262"/>
        <v>2</v>
      </c>
      <c r="BN288" s="526">
        <f t="shared" si="262"/>
        <v>0</v>
      </c>
      <c r="BO288" s="526">
        <f t="shared" si="262"/>
        <v>0</v>
      </c>
      <c r="BP288" s="526">
        <f t="shared" si="262"/>
        <v>2</v>
      </c>
      <c r="BQ288" s="526">
        <f t="shared" si="262"/>
        <v>2</v>
      </c>
      <c r="BR288" s="526">
        <f t="shared" si="262"/>
        <v>0</v>
      </c>
      <c r="BS288" s="265"/>
      <c r="BT288" s="267"/>
      <c r="BU288" s="267"/>
      <c r="BV288" s="267"/>
      <c r="BW288" s="267"/>
      <c r="BX288" s="267"/>
      <c r="BY288" s="267"/>
      <c r="BZ288" s="267"/>
      <c r="CA288" s="267"/>
      <c r="CB288" s="267"/>
    </row>
    <row r="289" spans="1:80" s="139" customFormat="1" ht="24" customHeight="1" outlineLevel="1" x14ac:dyDescent="0.2">
      <c r="A289" s="520"/>
      <c r="B289" s="521"/>
      <c r="C289" s="522"/>
      <c r="D289" s="560"/>
      <c r="E289" s="98"/>
      <c r="F289" s="523"/>
      <c r="G289" s="488"/>
      <c r="H289" s="643"/>
      <c r="I289" s="358"/>
      <c r="J289" s="407"/>
      <c r="K289" s="627"/>
      <c r="L289" s="627"/>
      <c r="M289" s="627"/>
      <c r="N289" s="523"/>
      <c r="O289" s="641"/>
      <c r="P289" s="523"/>
      <c r="Q289" s="523"/>
      <c r="R289" s="523"/>
      <c r="S289" s="644"/>
      <c r="T289" s="527"/>
      <c r="U289" s="527"/>
      <c r="V289" s="527"/>
      <c r="W289" s="527"/>
      <c r="X289" s="527"/>
      <c r="Y289" s="527"/>
      <c r="Z289" s="527"/>
      <c r="AA289" s="527"/>
      <c r="AB289" s="265"/>
      <c r="AC289" s="641"/>
      <c r="AD289" s="627"/>
      <c r="AE289" s="523"/>
      <c r="AF289" s="523"/>
      <c r="AG289" s="644"/>
      <c r="AH289" s="527"/>
      <c r="AI289" s="527"/>
      <c r="AJ289" s="527"/>
      <c r="AK289" s="527"/>
      <c r="AL289" s="527"/>
      <c r="AM289" s="527"/>
      <c r="AN289" s="527"/>
      <c r="AO289" s="527"/>
      <c r="AP289" s="265"/>
      <c r="AQ289" s="265"/>
      <c r="AR289" s="641"/>
      <c r="AS289" s="627"/>
      <c r="AT289" s="523"/>
      <c r="AU289" s="523"/>
      <c r="AV289" s="644"/>
      <c r="AW289" s="527"/>
      <c r="AX289" s="527"/>
      <c r="AY289" s="527"/>
      <c r="AZ289" s="527"/>
      <c r="BA289" s="527"/>
      <c r="BB289" s="527"/>
      <c r="BC289" s="527"/>
      <c r="BD289" s="527"/>
      <c r="BE289" s="265"/>
      <c r="BF289" s="641"/>
      <c r="BG289" s="627"/>
      <c r="BH289" s="523"/>
      <c r="BI289" s="523"/>
      <c r="BJ289" s="644"/>
      <c r="BK289" s="527"/>
      <c r="BL289" s="527"/>
      <c r="BM289" s="527"/>
      <c r="BN289" s="527"/>
      <c r="BO289" s="527"/>
      <c r="BP289" s="527"/>
      <c r="BQ289" s="527"/>
      <c r="BR289" s="527"/>
      <c r="BS289" s="265"/>
      <c r="BT289" s="267"/>
      <c r="BU289" s="267"/>
      <c r="BV289" s="267"/>
      <c r="BW289" s="267"/>
      <c r="BX289" s="267"/>
      <c r="BY289" s="267"/>
      <c r="BZ289" s="267"/>
      <c r="CA289" s="267"/>
      <c r="CB289" s="267"/>
    </row>
    <row r="290" spans="1:80" ht="24" customHeight="1" outlineLevel="1" x14ac:dyDescent="0.2">
      <c r="A290" s="312"/>
      <c r="B290" s="509" t="s">
        <v>113</v>
      </c>
      <c r="C290" s="510" t="s">
        <v>165</v>
      </c>
      <c r="D290" s="580" t="s">
        <v>111</v>
      </c>
      <c r="E290" s="415" t="s">
        <v>121</v>
      </c>
      <c r="F290" s="414" t="s">
        <v>61</v>
      </c>
      <c r="G290" s="580" t="s">
        <v>50</v>
      </c>
      <c r="H290" s="581" t="s">
        <v>152</v>
      </c>
      <c r="I290" s="732" t="s">
        <v>243</v>
      </c>
      <c r="J290" s="407"/>
      <c r="K290" s="645"/>
      <c r="L290" s="645"/>
      <c r="M290" s="645"/>
      <c r="N290" s="488"/>
      <c r="O290" s="551"/>
      <c r="P290" s="488"/>
      <c r="Q290" s="374">
        <v>0.5</v>
      </c>
      <c r="R290" s="488"/>
      <c r="S290" s="419">
        <f>(1+Sensitivity_Asset_Val)*(EMP_Standard_Sys_Effort*(1+PM_Overhead)*$Q290)</f>
        <v>66</v>
      </c>
      <c r="T290" s="419">
        <f>(1+Sensitivity_Asset_Val)*(EMP_Standard_Sys_Effort*(1+PM_Overhead)*$Q290)</f>
        <v>66</v>
      </c>
      <c r="U290" s="419">
        <f>(1+Sensitivity_Asset_Val)*(EMP_Standard_Sys_Effort*(1+PM_Overhead)*$Q290)</f>
        <v>66</v>
      </c>
      <c r="V290" s="419">
        <f>(1+Sensitivity_Asset_Val)*(EMP_Standard_Sys_Effort*(1+PM_Overhead)*$Q290)</f>
        <v>66</v>
      </c>
      <c r="W290" s="419">
        <f t="shared" ref="W290:AA291" si="263">(1+Sensitivity_Asset_Val)*0</f>
        <v>0</v>
      </c>
      <c r="X290" s="419">
        <f t="shared" si="263"/>
        <v>0</v>
      </c>
      <c r="Y290" s="419">
        <f>(1+Sensitivity_Asset_Val)*(EMP_Standard_Sys_Effort*(1+PM_Overhead)*$Q290)*TierC_TierB_ratio</f>
        <v>33</v>
      </c>
      <c r="Z290" s="419">
        <f t="shared" si="263"/>
        <v>0</v>
      </c>
      <c r="AA290" s="419">
        <f>Y290</f>
        <v>33</v>
      </c>
      <c r="AB290" s="264"/>
      <c r="AC290" s="551"/>
      <c r="AD290" s="645"/>
      <c r="AE290" s="374">
        <v>0.5</v>
      </c>
      <c r="AF290" s="487"/>
      <c r="AG290" s="419">
        <f>(1+Sensitivity_Asset_Val)*(DCC_Standard_Sys_Effort*(1+PM_Overhead)*$AE290)</f>
        <v>66</v>
      </c>
      <c r="AH290" s="419">
        <f>(1+Sensitivity_Asset_Val)*(DCC_Standard_Sys_Effort*(1+PM_Overhead)*$AE290)</f>
        <v>66</v>
      </c>
      <c r="AI290" s="419">
        <f>(1+Sensitivity_Asset_Val)*(DCC_Standard_Sys_Effort*(1+PM_Overhead)*$AE290)</f>
        <v>66</v>
      </c>
      <c r="AJ290" s="419">
        <f>(1+Sensitivity_Asset_Val)*(DCC_Standard_Sys_Effort*(1+PM_Overhead)*$AE290)</f>
        <v>66</v>
      </c>
      <c r="AK290" s="419">
        <f>(1+Sensitivity_Asset_Val)*0</f>
        <v>0</v>
      </c>
      <c r="AL290" s="419">
        <f>(1+Sensitivity_Asset_Val)*0</f>
        <v>0</v>
      </c>
      <c r="AM290" s="419">
        <f>(1+Sensitivity_Asset_Val)*(DCC_Standard_Sys_Effort*(1+PM_Overhead)*$AE290)*TierC_TierB_ratio</f>
        <v>33</v>
      </c>
      <c r="AN290" s="419">
        <f>(1+Sensitivity_Asset_Val)*0</f>
        <v>0</v>
      </c>
      <c r="AO290" s="419">
        <f>AM290</f>
        <v>33</v>
      </c>
      <c r="AP290" s="264"/>
      <c r="AQ290" s="264"/>
      <c r="AR290" s="551"/>
      <c r="AS290" s="645"/>
      <c r="AT290" s="374">
        <v>0.5</v>
      </c>
      <c r="AU290" s="488"/>
      <c r="AV290" s="419">
        <f>(1+Sensitivity_Asset_Val)*(EMP_Standard_Sys_Effort*(1+PM_Overhead)*$Q290)</f>
        <v>66</v>
      </c>
      <c r="AW290" s="419">
        <f>(1+Sensitivity_Asset_Val)*(EMP_Standard_Sys_Effort*(1+PM_Overhead)*$Q290)</f>
        <v>66</v>
      </c>
      <c r="AX290" s="419">
        <f>(1+Sensitivity_Asset_Val)*(EMP_Standard_Sys_Effort*(1+PM_Overhead)*$Q290)</f>
        <v>66</v>
      </c>
      <c r="AY290" s="419">
        <f>(1+Sensitivity_Asset_Val)*(EMP_Standard_Sys_Effort*(1+PM_Overhead)*$Q290)</f>
        <v>66</v>
      </c>
      <c r="AZ290" s="419">
        <f t="shared" ref="AZ290:BD291" si="264">(1+Sensitivity_Asset_Val)*0</f>
        <v>0</v>
      </c>
      <c r="BA290" s="419">
        <f t="shared" si="264"/>
        <v>0</v>
      </c>
      <c r="BB290" s="419">
        <f>(1+Sensitivity_Asset_Val)*(EMP_Standard_Sys_Effort*(1+PM_Overhead)*$Q290)*TierC_TierB_ratio</f>
        <v>33</v>
      </c>
      <c r="BC290" s="419">
        <f t="shared" si="264"/>
        <v>0</v>
      </c>
      <c r="BD290" s="419">
        <f>BB290</f>
        <v>33</v>
      </c>
      <c r="BE290" s="264"/>
      <c r="BF290" s="551"/>
      <c r="BG290" s="645"/>
      <c r="BH290" s="374">
        <v>0.5</v>
      </c>
      <c r="BI290" s="487"/>
      <c r="BJ290" s="419">
        <f>(1+Sensitivity_Asset_Val)*(DCC_Standard_Sys_Effort*(1+PM_Overhead)*$AE290)</f>
        <v>66</v>
      </c>
      <c r="BK290" s="419">
        <f>(1+Sensitivity_Asset_Val)*(DCC_Standard_Sys_Effort*(1+PM_Overhead)*$AE290)</f>
        <v>66</v>
      </c>
      <c r="BL290" s="419">
        <f>(1+Sensitivity_Asset_Val)*(DCC_Standard_Sys_Effort*(1+PM_Overhead)*$AE290)</f>
        <v>66</v>
      </c>
      <c r="BM290" s="419">
        <f>(1+Sensitivity_Asset_Val)*(DCC_Standard_Sys_Effort*(1+PM_Overhead)*$AE290)</f>
        <v>66</v>
      </c>
      <c r="BN290" s="419">
        <f>(1+Sensitivity_Asset_Val)*0</f>
        <v>0</v>
      </c>
      <c r="BO290" s="419">
        <f>(1+Sensitivity_Asset_Val)*0</f>
        <v>0</v>
      </c>
      <c r="BP290" s="419">
        <f>(1+Sensitivity_Asset_Val)*(DCC_Standard_Sys_Effort*(1+PM_Overhead)*$AE290)*TierC_TierB_ratio</f>
        <v>33</v>
      </c>
      <c r="BQ290" s="419">
        <f>(1+Sensitivity_Asset_Val)*0</f>
        <v>0</v>
      </c>
      <c r="BR290" s="419">
        <f>BP290</f>
        <v>33</v>
      </c>
      <c r="BS290" s="263"/>
      <c r="BT290" s="267"/>
      <c r="BU290" s="267"/>
      <c r="BV290" s="267"/>
      <c r="BW290" s="267"/>
      <c r="BX290" s="267"/>
      <c r="BY290" s="267"/>
      <c r="BZ290" s="267"/>
      <c r="CA290" s="267"/>
      <c r="CB290" s="267"/>
    </row>
    <row r="291" spans="1:80" ht="24" customHeight="1" outlineLevel="1" x14ac:dyDescent="0.2">
      <c r="A291" s="312"/>
      <c r="B291" s="509" t="s">
        <v>113</v>
      </c>
      <c r="C291" s="510" t="s">
        <v>165</v>
      </c>
      <c r="D291" s="580" t="s">
        <v>111</v>
      </c>
      <c r="E291" s="415" t="s">
        <v>121</v>
      </c>
      <c r="F291" s="414" t="s">
        <v>30</v>
      </c>
      <c r="G291" s="583" t="s">
        <v>50</v>
      </c>
      <c r="H291" s="581" t="s">
        <v>119</v>
      </c>
      <c r="I291" s="732"/>
      <c r="J291" s="407"/>
      <c r="K291" s="645"/>
      <c r="L291" s="645"/>
      <c r="M291" s="645"/>
      <c r="N291" s="488"/>
      <c r="O291" s="551" t="s">
        <v>203</v>
      </c>
      <c r="P291" s="488"/>
      <c r="Q291" s="374">
        <v>0</v>
      </c>
      <c r="R291" s="488"/>
      <c r="S291" s="419">
        <f>(1+Sensitivity_Asset_Val)*0</f>
        <v>0</v>
      </c>
      <c r="T291" s="419">
        <f>(1+Sensitivity_Asset_Val)*0</f>
        <v>0</v>
      </c>
      <c r="U291" s="419">
        <f>(1+Sensitivity_Asset_Val)*0</f>
        <v>0</v>
      </c>
      <c r="V291" s="419">
        <f>(1+Sensitivity_Asset_Val)*0</f>
        <v>0</v>
      </c>
      <c r="W291" s="419">
        <f t="shared" si="263"/>
        <v>0</v>
      </c>
      <c r="X291" s="419">
        <f t="shared" si="263"/>
        <v>0</v>
      </c>
      <c r="Y291" s="419">
        <f t="shared" si="263"/>
        <v>0</v>
      </c>
      <c r="Z291" s="419">
        <f t="shared" si="263"/>
        <v>0</v>
      </c>
      <c r="AA291" s="419">
        <f t="shared" si="263"/>
        <v>0</v>
      </c>
      <c r="AB291" s="264"/>
      <c r="AC291" s="551" t="s">
        <v>203</v>
      </c>
      <c r="AD291" s="645"/>
      <c r="AE291" s="488"/>
      <c r="AF291" s="487"/>
      <c r="AG291" s="419">
        <f>(1+Sensitivity_Asset_Val)*0</f>
        <v>0</v>
      </c>
      <c r="AH291" s="419">
        <f>(1+Sensitivity_Asset_Val)*0</f>
        <v>0</v>
      </c>
      <c r="AI291" s="419">
        <f>(1+Sensitivity_Asset_Val)*0</f>
        <v>0</v>
      </c>
      <c r="AJ291" s="419">
        <f>(1+Sensitivity_Asset_Val)*0</f>
        <v>0</v>
      </c>
      <c r="AK291" s="419">
        <f>(1+Sensitivity_Asset_Val)*0</f>
        <v>0</v>
      </c>
      <c r="AL291" s="419">
        <f>(1+Sensitivity_Asset_Val)*0</f>
        <v>0</v>
      </c>
      <c r="AM291" s="419">
        <f>(1+Sensitivity_Asset_Val)*0</f>
        <v>0</v>
      </c>
      <c r="AN291" s="419">
        <f>(1+Sensitivity_Asset_Val)*0</f>
        <v>0</v>
      </c>
      <c r="AO291" s="419">
        <f>(1+Sensitivity_Asset_Val)*0</f>
        <v>0</v>
      </c>
      <c r="AP291" s="264"/>
      <c r="AQ291" s="264"/>
      <c r="AR291" s="551" t="s">
        <v>203</v>
      </c>
      <c r="AS291" s="645"/>
      <c r="AT291" s="488"/>
      <c r="AU291" s="488"/>
      <c r="AV291" s="419">
        <f>(1+Sensitivity_Asset_Val)*0</f>
        <v>0</v>
      </c>
      <c r="AW291" s="419">
        <f>(1+Sensitivity_Asset_Val)*0</f>
        <v>0</v>
      </c>
      <c r="AX291" s="419">
        <f>(1+Sensitivity_Asset_Val)*0</f>
        <v>0</v>
      </c>
      <c r="AY291" s="419">
        <f>(1+Sensitivity_Asset_Val)*0</f>
        <v>0</v>
      </c>
      <c r="AZ291" s="419">
        <f t="shared" si="264"/>
        <v>0</v>
      </c>
      <c r="BA291" s="419">
        <f t="shared" si="264"/>
        <v>0</v>
      </c>
      <c r="BB291" s="419">
        <f t="shared" si="264"/>
        <v>0</v>
      </c>
      <c r="BC291" s="419">
        <f t="shared" si="264"/>
        <v>0</v>
      </c>
      <c r="BD291" s="419">
        <f t="shared" si="264"/>
        <v>0</v>
      </c>
      <c r="BE291" s="264"/>
      <c r="BF291" s="551" t="s">
        <v>203</v>
      </c>
      <c r="BG291" s="645"/>
      <c r="BH291" s="488"/>
      <c r="BI291" s="487"/>
      <c r="BJ291" s="419">
        <f>(1+Sensitivity_Asset_Val)*0</f>
        <v>0</v>
      </c>
      <c r="BK291" s="419">
        <f>(1+Sensitivity_Asset_Val)*0</f>
        <v>0</v>
      </c>
      <c r="BL291" s="419">
        <f>(1+Sensitivity_Asset_Val)*0</f>
        <v>0</v>
      </c>
      <c r="BM291" s="419">
        <f>(1+Sensitivity_Asset_Val)*0</f>
        <v>0</v>
      </c>
      <c r="BN291" s="419">
        <f>(1+Sensitivity_Asset_Val)*0</f>
        <v>0</v>
      </c>
      <c r="BO291" s="419">
        <f>(1+Sensitivity_Asset_Val)*0</f>
        <v>0</v>
      </c>
      <c r="BP291" s="419">
        <f>(1+Sensitivity_Asset_Val)*0</f>
        <v>0</v>
      </c>
      <c r="BQ291" s="419">
        <f>(1+Sensitivity_Asset_Val)*0</f>
        <v>0</v>
      </c>
      <c r="BR291" s="419">
        <f>(1+Sensitivity_Asset_Val)*0</f>
        <v>0</v>
      </c>
      <c r="BS291" s="263"/>
      <c r="BT291" s="267"/>
      <c r="BU291" s="267"/>
      <c r="BV291" s="267"/>
      <c r="BW291" s="267"/>
      <c r="BX291" s="267"/>
      <c r="BY291" s="267"/>
      <c r="BZ291" s="267"/>
      <c r="CA291" s="267"/>
      <c r="CB291" s="267"/>
    </row>
    <row r="292" spans="1:80" ht="24" customHeight="1" outlineLevel="1" x14ac:dyDescent="0.2">
      <c r="A292" s="312"/>
      <c r="B292" s="509" t="s">
        <v>113</v>
      </c>
      <c r="C292" s="510" t="s">
        <v>165</v>
      </c>
      <c r="D292" s="580" t="s">
        <v>111</v>
      </c>
      <c r="E292" s="415" t="s">
        <v>121</v>
      </c>
      <c r="F292" s="585" t="s">
        <v>49</v>
      </c>
      <c r="G292" s="583" t="s">
        <v>47</v>
      </c>
      <c r="H292" s="581" t="s">
        <v>120</v>
      </c>
      <c r="I292" s="732"/>
      <c r="J292" s="453"/>
      <c r="K292" s="645"/>
      <c r="L292" s="645"/>
      <c r="M292" s="645"/>
      <c r="N292" s="488"/>
      <c r="O292" s="551"/>
      <c r="P292" s="488"/>
      <c r="Q292" s="488"/>
      <c r="R292" s="488"/>
      <c r="S292" s="374">
        <v>0.2</v>
      </c>
      <c r="T292" s="374">
        <v>0.2</v>
      </c>
      <c r="U292" s="374">
        <v>0.2</v>
      </c>
      <c r="V292" s="374">
        <v>0.2</v>
      </c>
      <c r="W292" s="374">
        <v>0.2</v>
      </c>
      <c r="X292" s="374">
        <v>0.2</v>
      </c>
      <c r="Y292" s="374">
        <v>0.2</v>
      </c>
      <c r="Z292" s="374">
        <v>0.2</v>
      </c>
      <c r="AA292" s="374">
        <v>0.2</v>
      </c>
      <c r="AB292" s="264"/>
      <c r="AC292" s="551"/>
      <c r="AD292" s="645"/>
      <c r="AE292" s="488"/>
      <c r="AF292" s="487"/>
      <c r="AG292" s="374">
        <v>0.2</v>
      </c>
      <c r="AH292" s="374">
        <v>0.2</v>
      </c>
      <c r="AI292" s="374">
        <f t="shared" ref="AI292" si="265">AG292</f>
        <v>0.2</v>
      </c>
      <c r="AJ292" s="374">
        <v>0.2</v>
      </c>
      <c r="AK292" s="374">
        <v>0.2</v>
      </c>
      <c r="AL292" s="374">
        <v>0.2</v>
      </c>
      <c r="AM292" s="374">
        <v>0.2</v>
      </c>
      <c r="AN292" s="374">
        <v>0.2</v>
      </c>
      <c r="AO292" s="374">
        <v>0.2</v>
      </c>
      <c r="AP292" s="264"/>
      <c r="AQ292" s="264"/>
      <c r="AR292" s="551"/>
      <c r="AS292" s="645"/>
      <c r="AT292" s="488"/>
      <c r="AU292" s="488"/>
      <c r="AV292" s="374">
        <v>0.2</v>
      </c>
      <c r="AW292" s="374">
        <v>0.2</v>
      </c>
      <c r="AX292" s="374">
        <v>0.2</v>
      </c>
      <c r="AY292" s="374">
        <v>0.2</v>
      </c>
      <c r="AZ292" s="374">
        <v>0.2</v>
      </c>
      <c r="BA292" s="374">
        <v>0.2</v>
      </c>
      <c r="BB292" s="374">
        <v>0.2</v>
      </c>
      <c r="BC292" s="374">
        <v>0.2</v>
      </c>
      <c r="BD292" s="374">
        <v>0.2</v>
      </c>
      <c r="BE292" s="264"/>
      <c r="BF292" s="551"/>
      <c r="BG292" s="645"/>
      <c r="BH292" s="488"/>
      <c r="BI292" s="487"/>
      <c r="BJ292" s="374">
        <v>0.2</v>
      </c>
      <c r="BK292" s="374">
        <v>0.2</v>
      </c>
      <c r="BL292" s="374">
        <f t="shared" ref="BL292" si="266">BJ292</f>
        <v>0.2</v>
      </c>
      <c r="BM292" s="374">
        <v>0.2</v>
      </c>
      <c r="BN292" s="374">
        <v>0.2</v>
      </c>
      <c r="BO292" s="374">
        <v>0.2</v>
      </c>
      <c r="BP292" s="374">
        <v>0.2</v>
      </c>
      <c r="BQ292" s="374">
        <v>0.2</v>
      </c>
      <c r="BR292" s="374">
        <v>0.2</v>
      </c>
      <c r="BS292" s="263"/>
      <c r="BT292" s="267"/>
      <c r="BU292" s="267"/>
      <c r="BV292" s="267"/>
      <c r="BW292" s="267"/>
      <c r="BX292" s="267"/>
      <c r="BY292" s="267"/>
      <c r="BZ292" s="267"/>
      <c r="CA292" s="267"/>
      <c r="CB292" s="267"/>
    </row>
    <row r="293" spans="1:80" ht="24" customHeight="1" outlineLevel="1" x14ac:dyDescent="0.2">
      <c r="A293" s="312"/>
      <c r="B293" s="437" t="s">
        <v>113</v>
      </c>
      <c r="C293" s="171" t="s">
        <v>165</v>
      </c>
      <c r="D293" s="562" t="s">
        <v>111</v>
      </c>
      <c r="E293" s="421" t="s">
        <v>141</v>
      </c>
      <c r="F293" s="433" t="s">
        <v>61</v>
      </c>
      <c r="G293" s="562" t="s">
        <v>50</v>
      </c>
      <c r="H293" s="564" t="s">
        <v>152</v>
      </c>
      <c r="I293" s="733" t="s">
        <v>245</v>
      </c>
      <c r="J293" s="453"/>
      <c r="K293" s="488"/>
      <c r="L293" s="488"/>
      <c r="M293" s="488"/>
      <c r="N293" s="488"/>
      <c r="O293" s="570"/>
      <c r="P293" s="488"/>
      <c r="Q293" s="374">
        <v>0.5</v>
      </c>
      <c r="R293" s="488"/>
      <c r="S293" s="419">
        <f>(1+Sensitivity_Asset_Val)*(EMP_Standard_Sys_Effort*(1+PM_Overhead)*$Q293)</f>
        <v>66</v>
      </c>
      <c r="T293" s="419">
        <f>(1+Sensitivity_Asset_Val)*(EMP_Standard_Sys_Effort*(1+PM_Overhead)*$Q293)</f>
        <v>66</v>
      </c>
      <c r="U293" s="419">
        <f>(1+Sensitivity_Asset_Val)*(EMP_Standard_Sys_Effort*(1+PM_Overhead)*$Q293)</f>
        <v>66</v>
      </c>
      <c r="V293" s="419">
        <f>(1+Sensitivity_Asset_Val)*(EMP_Standard_Sys_Effort*(1+PM_Overhead)*$Q293)</f>
        <v>66</v>
      </c>
      <c r="W293" s="419">
        <f t="shared" ref="W293:AA294" si="267">(1+Sensitivity_Asset_Val)*0</f>
        <v>0</v>
      </c>
      <c r="X293" s="419">
        <f t="shared" si="267"/>
        <v>0</v>
      </c>
      <c r="Y293" s="419">
        <f>(1+Sensitivity_Asset_Val)*(EMP_Standard_Sys_Effort*(1+PM_Overhead)*$Q293)*TierC_TierB_ratio</f>
        <v>33</v>
      </c>
      <c r="Z293" s="419">
        <f t="shared" si="267"/>
        <v>0</v>
      </c>
      <c r="AA293" s="419">
        <f>Y293</f>
        <v>33</v>
      </c>
      <c r="AB293" s="264"/>
      <c r="AC293" s="570"/>
      <c r="AD293" s="488"/>
      <c r="AE293" s="374">
        <v>0.5</v>
      </c>
      <c r="AF293" s="487"/>
      <c r="AG293" s="419">
        <f>(1+Sensitivity_Asset_Val)*(DCC_Standard_Sys_Effort*(1+PM_Overhead)*$AE293)</f>
        <v>66</v>
      </c>
      <c r="AH293" s="419">
        <f>(1+Sensitivity_Asset_Val)*(DCC_Standard_Sys_Effort*(1+PM_Overhead)*$AE293)</f>
        <v>66</v>
      </c>
      <c r="AI293" s="419">
        <f>(1+Sensitivity_Asset_Val)*(DCC_Standard_Sys_Effort*(1+PM_Overhead)*$AE293)</f>
        <v>66</v>
      </c>
      <c r="AJ293" s="419">
        <f>(1+Sensitivity_Asset_Val)*(DCC_Standard_Sys_Effort*(1+PM_Overhead)*$AE293)</f>
        <v>66</v>
      </c>
      <c r="AK293" s="419">
        <f>(1+Sensitivity_Asset_Val)*0</f>
        <v>0</v>
      </c>
      <c r="AL293" s="419">
        <f>(1+Sensitivity_Asset_Val)*0</f>
        <v>0</v>
      </c>
      <c r="AM293" s="419">
        <f>(1+Sensitivity_Asset_Val)*(DCC_Standard_Sys_Effort*(1+PM_Overhead)*$AE293)*TierC_TierB_ratio</f>
        <v>33</v>
      </c>
      <c r="AN293" s="419">
        <f>(1+Sensitivity_Asset_Val)*0</f>
        <v>0</v>
      </c>
      <c r="AO293" s="419">
        <f>AM293</f>
        <v>33</v>
      </c>
      <c r="AP293" s="264"/>
      <c r="AQ293" s="264"/>
      <c r="AR293" s="570"/>
      <c r="AS293" s="488"/>
      <c r="AT293" s="374">
        <v>0.5</v>
      </c>
      <c r="AU293" s="488"/>
      <c r="AV293" s="419">
        <f>(1+Sensitivity_Asset_Val)*(EMP_Standard_Sys_Effort*(1+PM_Overhead)*$Q293)</f>
        <v>66</v>
      </c>
      <c r="AW293" s="419">
        <f>(1+Sensitivity_Asset_Val)*(EMP_Standard_Sys_Effort*(1+PM_Overhead)*$Q293)</f>
        <v>66</v>
      </c>
      <c r="AX293" s="419">
        <f>(1+Sensitivity_Asset_Val)*(EMP_Standard_Sys_Effort*(1+PM_Overhead)*$Q293)</f>
        <v>66</v>
      </c>
      <c r="AY293" s="419">
        <f>(1+Sensitivity_Asset_Val)*(EMP_Standard_Sys_Effort*(1+PM_Overhead)*$Q293)</f>
        <v>66</v>
      </c>
      <c r="AZ293" s="419">
        <f t="shared" ref="AZ293:BD294" si="268">(1+Sensitivity_Asset_Val)*0</f>
        <v>0</v>
      </c>
      <c r="BA293" s="419">
        <f t="shared" si="268"/>
        <v>0</v>
      </c>
      <c r="BB293" s="419">
        <f>(1+Sensitivity_Asset_Val)*(EMP_Standard_Sys_Effort*(1+PM_Overhead)*$Q293)*TierC_TierB_ratio</f>
        <v>33</v>
      </c>
      <c r="BC293" s="419">
        <f t="shared" si="268"/>
        <v>0</v>
      </c>
      <c r="BD293" s="419">
        <f>BB293</f>
        <v>33</v>
      </c>
      <c r="BE293" s="264"/>
      <c r="BF293" s="570"/>
      <c r="BG293" s="488"/>
      <c r="BH293" s="374">
        <v>0.5</v>
      </c>
      <c r="BI293" s="487"/>
      <c r="BJ293" s="419">
        <f>(1+Sensitivity_Asset_Val)*(DCC_Standard_Sys_Effort*(1+PM_Overhead)*$AE293)</f>
        <v>66</v>
      </c>
      <c r="BK293" s="419">
        <f>(1+Sensitivity_Asset_Val)*(DCC_Standard_Sys_Effort*(1+PM_Overhead)*$AE293)</f>
        <v>66</v>
      </c>
      <c r="BL293" s="419">
        <f>(1+Sensitivity_Asset_Val)*(DCC_Standard_Sys_Effort*(1+PM_Overhead)*$AE293)</f>
        <v>66</v>
      </c>
      <c r="BM293" s="419">
        <f>(1+Sensitivity_Asset_Val)*(DCC_Standard_Sys_Effort*(1+PM_Overhead)*$AE293)</f>
        <v>66</v>
      </c>
      <c r="BN293" s="419">
        <f>(1+Sensitivity_Asset_Val)*0</f>
        <v>0</v>
      </c>
      <c r="BO293" s="419">
        <f>(1+Sensitivity_Asset_Val)*0</f>
        <v>0</v>
      </c>
      <c r="BP293" s="419">
        <f>(1+Sensitivity_Asset_Val)*(DCC_Standard_Sys_Effort*(1+PM_Overhead)*$AE293)*TierC_TierB_ratio</f>
        <v>33</v>
      </c>
      <c r="BQ293" s="419">
        <f>(1+Sensitivity_Asset_Val)*0</f>
        <v>0</v>
      </c>
      <c r="BR293" s="419">
        <f>BP293</f>
        <v>33</v>
      </c>
      <c r="BS293" s="263"/>
      <c r="BT293" s="267"/>
      <c r="BU293" s="267"/>
      <c r="BV293" s="267"/>
      <c r="BW293" s="267"/>
      <c r="BX293" s="267"/>
      <c r="BY293" s="267"/>
      <c r="BZ293" s="267"/>
      <c r="CA293" s="267"/>
      <c r="CB293" s="267"/>
    </row>
    <row r="294" spans="1:80" ht="24" customHeight="1" outlineLevel="1" x14ac:dyDescent="0.2">
      <c r="A294" s="312"/>
      <c r="B294" s="437" t="s">
        <v>113</v>
      </c>
      <c r="C294" s="171" t="s">
        <v>165</v>
      </c>
      <c r="D294" s="562" t="s">
        <v>111</v>
      </c>
      <c r="E294" s="421" t="s">
        <v>141</v>
      </c>
      <c r="F294" s="433" t="s">
        <v>30</v>
      </c>
      <c r="G294" s="563" t="s">
        <v>50</v>
      </c>
      <c r="H294" s="564" t="s">
        <v>119</v>
      </c>
      <c r="I294" s="733"/>
      <c r="J294" s="453"/>
      <c r="K294" s="488"/>
      <c r="L294" s="488"/>
      <c r="M294" s="488"/>
      <c r="N294" s="488"/>
      <c r="O294" s="570"/>
      <c r="P294" s="488"/>
      <c r="Q294" s="374">
        <v>0</v>
      </c>
      <c r="R294" s="488"/>
      <c r="S294" s="419">
        <f>(1+Sensitivity_Asset_Val)*0</f>
        <v>0</v>
      </c>
      <c r="T294" s="419">
        <f>(1+Sensitivity_Asset_Val)*0</f>
        <v>0</v>
      </c>
      <c r="U294" s="419">
        <f>(1+Sensitivity_Asset_Val)*0</f>
        <v>0</v>
      </c>
      <c r="V294" s="419">
        <f>(1+Sensitivity_Asset_Val)*0</f>
        <v>0</v>
      </c>
      <c r="W294" s="419">
        <f t="shared" si="267"/>
        <v>0</v>
      </c>
      <c r="X294" s="419">
        <f t="shared" si="267"/>
        <v>0</v>
      </c>
      <c r="Y294" s="419">
        <f t="shared" si="267"/>
        <v>0</v>
      </c>
      <c r="Z294" s="419">
        <f t="shared" si="267"/>
        <v>0</v>
      </c>
      <c r="AA294" s="419">
        <f t="shared" si="267"/>
        <v>0</v>
      </c>
      <c r="AB294" s="264"/>
      <c r="AC294" s="570"/>
      <c r="AD294" s="488"/>
      <c r="AE294" s="488"/>
      <c r="AF294" s="487"/>
      <c r="AG294" s="419">
        <f>(1+Sensitivity_Asset_Val)*0</f>
        <v>0</v>
      </c>
      <c r="AH294" s="419">
        <f>(1+Sensitivity_Asset_Val)*0</f>
        <v>0</v>
      </c>
      <c r="AI294" s="419">
        <f>(1+Sensitivity_Asset_Val)*0</f>
        <v>0</v>
      </c>
      <c r="AJ294" s="419">
        <f>(1+Sensitivity_Asset_Val)*0</f>
        <v>0</v>
      </c>
      <c r="AK294" s="419">
        <f>(1+Sensitivity_Asset_Val)*0</f>
        <v>0</v>
      </c>
      <c r="AL294" s="419">
        <f>(1+Sensitivity_Asset_Val)*0</f>
        <v>0</v>
      </c>
      <c r="AM294" s="419">
        <f>(1+Sensitivity_Asset_Val)*0</f>
        <v>0</v>
      </c>
      <c r="AN294" s="419">
        <f>(1+Sensitivity_Asset_Val)*0</f>
        <v>0</v>
      </c>
      <c r="AO294" s="419">
        <f>(1+Sensitivity_Asset_Val)*0</f>
        <v>0</v>
      </c>
      <c r="AP294" s="264"/>
      <c r="AQ294" s="264"/>
      <c r="AR294" s="570"/>
      <c r="AS294" s="488"/>
      <c r="AT294" s="488"/>
      <c r="AU294" s="488"/>
      <c r="AV294" s="419">
        <f>(1+Sensitivity_Asset_Val)*0</f>
        <v>0</v>
      </c>
      <c r="AW294" s="419">
        <f>(1+Sensitivity_Asset_Val)*0</f>
        <v>0</v>
      </c>
      <c r="AX294" s="419">
        <f>(1+Sensitivity_Asset_Val)*0</f>
        <v>0</v>
      </c>
      <c r="AY294" s="419">
        <f>(1+Sensitivity_Asset_Val)*0</f>
        <v>0</v>
      </c>
      <c r="AZ294" s="419">
        <f t="shared" si="268"/>
        <v>0</v>
      </c>
      <c r="BA294" s="419">
        <f t="shared" si="268"/>
        <v>0</v>
      </c>
      <c r="BB294" s="419">
        <f t="shared" si="268"/>
        <v>0</v>
      </c>
      <c r="BC294" s="419">
        <f t="shared" si="268"/>
        <v>0</v>
      </c>
      <c r="BD294" s="419">
        <f t="shared" si="268"/>
        <v>0</v>
      </c>
      <c r="BE294" s="264"/>
      <c r="BF294" s="570"/>
      <c r="BG294" s="488"/>
      <c r="BH294" s="488"/>
      <c r="BI294" s="487"/>
      <c r="BJ294" s="419">
        <f>(1+Sensitivity_Asset_Val)*0</f>
        <v>0</v>
      </c>
      <c r="BK294" s="419">
        <f>(1+Sensitivity_Asset_Val)*0</f>
        <v>0</v>
      </c>
      <c r="BL294" s="419">
        <f>(1+Sensitivity_Asset_Val)*0</f>
        <v>0</v>
      </c>
      <c r="BM294" s="419">
        <f>(1+Sensitivity_Asset_Val)*0</f>
        <v>0</v>
      </c>
      <c r="BN294" s="419">
        <f>(1+Sensitivity_Asset_Val)*0</f>
        <v>0</v>
      </c>
      <c r="BO294" s="419">
        <f>(1+Sensitivity_Asset_Val)*0</f>
        <v>0</v>
      </c>
      <c r="BP294" s="419">
        <f>(1+Sensitivity_Asset_Val)*0</f>
        <v>0</v>
      </c>
      <c r="BQ294" s="419">
        <f>(1+Sensitivity_Asset_Val)*0</f>
        <v>0</v>
      </c>
      <c r="BR294" s="419">
        <f>(1+Sensitivity_Asset_Val)*0</f>
        <v>0</v>
      </c>
      <c r="BS294" s="263"/>
      <c r="BT294" s="267"/>
      <c r="BU294" s="267"/>
      <c r="BV294" s="267"/>
      <c r="BW294" s="267"/>
      <c r="BX294" s="267"/>
      <c r="BY294" s="267"/>
      <c r="BZ294" s="267"/>
      <c r="CA294" s="267"/>
      <c r="CB294" s="267"/>
    </row>
    <row r="295" spans="1:80" ht="24" customHeight="1" outlineLevel="1" x14ac:dyDescent="0.2">
      <c r="A295" s="312"/>
      <c r="B295" s="437" t="s">
        <v>113</v>
      </c>
      <c r="C295" s="171" t="s">
        <v>165</v>
      </c>
      <c r="D295" s="562" t="s">
        <v>111</v>
      </c>
      <c r="E295" s="421" t="s">
        <v>141</v>
      </c>
      <c r="F295" s="475" t="s">
        <v>49</v>
      </c>
      <c r="G295" s="563" t="s">
        <v>47</v>
      </c>
      <c r="H295" s="564" t="s">
        <v>120</v>
      </c>
      <c r="I295" s="733"/>
      <c r="J295" s="453"/>
      <c r="K295" s="488"/>
      <c r="L295" s="488"/>
      <c r="M295" s="488"/>
      <c r="N295" s="488"/>
      <c r="O295" s="570"/>
      <c r="P295" s="488"/>
      <c r="Q295" s="488"/>
      <c r="R295" s="488"/>
      <c r="S295" s="374">
        <v>0.2</v>
      </c>
      <c r="T295" s="374">
        <v>0.2</v>
      </c>
      <c r="U295" s="374">
        <v>0.2</v>
      </c>
      <c r="V295" s="374">
        <v>0.2</v>
      </c>
      <c r="W295" s="374">
        <v>0.2</v>
      </c>
      <c r="X295" s="374">
        <v>0.2</v>
      </c>
      <c r="Y295" s="374">
        <v>0.2</v>
      </c>
      <c r="Z295" s="374">
        <v>0.2</v>
      </c>
      <c r="AA295" s="374">
        <v>0.2</v>
      </c>
      <c r="AB295" s="264"/>
      <c r="AC295" s="570"/>
      <c r="AD295" s="488"/>
      <c r="AE295" s="488"/>
      <c r="AF295" s="487"/>
      <c r="AG295" s="374">
        <v>0.2</v>
      </c>
      <c r="AH295" s="374">
        <v>0.2</v>
      </c>
      <c r="AI295" s="374">
        <f t="shared" ref="AI295" si="269">AG295</f>
        <v>0.2</v>
      </c>
      <c r="AJ295" s="374">
        <v>0.2</v>
      </c>
      <c r="AK295" s="374">
        <v>0.2</v>
      </c>
      <c r="AL295" s="374">
        <v>0.2</v>
      </c>
      <c r="AM295" s="374">
        <v>0.2</v>
      </c>
      <c r="AN295" s="374">
        <v>0.2</v>
      </c>
      <c r="AO295" s="374">
        <v>0.2</v>
      </c>
      <c r="AP295" s="264"/>
      <c r="AQ295" s="264"/>
      <c r="AR295" s="570"/>
      <c r="AS295" s="488"/>
      <c r="AT295" s="488"/>
      <c r="AU295" s="488"/>
      <c r="AV295" s="374">
        <v>0.2</v>
      </c>
      <c r="AW295" s="374">
        <v>0.2</v>
      </c>
      <c r="AX295" s="374">
        <v>0.2</v>
      </c>
      <c r="AY295" s="374">
        <v>0.2</v>
      </c>
      <c r="AZ295" s="374">
        <v>0.2</v>
      </c>
      <c r="BA295" s="374">
        <v>0.2</v>
      </c>
      <c r="BB295" s="374">
        <v>0.2</v>
      </c>
      <c r="BC295" s="374">
        <v>0.2</v>
      </c>
      <c r="BD295" s="374">
        <v>0.2</v>
      </c>
      <c r="BE295" s="264"/>
      <c r="BF295" s="570"/>
      <c r="BG295" s="488"/>
      <c r="BH295" s="488"/>
      <c r="BI295" s="487"/>
      <c r="BJ295" s="374">
        <v>0.2</v>
      </c>
      <c r="BK295" s="374">
        <v>0.2</v>
      </c>
      <c r="BL295" s="374">
        <f t="shared" ref="BL295" si="270">BJ295</f>
        <v>0.2</v>
      </c>
      <c r="BM295" s="374">
        <v>0.2</v>
      </c>
      <c r="BN295" s="374">
        <v>0.2</v>
      </c>
      <c r="BO295" s="374">
        <v>0.2</v>
      </c>
      <c r="BP295" s="374">
        <v>0.2</v>
      </c>
      <c r="BQ295" s="374">
        <v>0.2</v>
      </c>
      <c r="BR295" s="374">
        <v>0.2</v>
      </c>
      <c r="BS295" s="263"/>
      <c r="BT295" s="267"/>
      <c r="BU295" s="267"/>
      <c r="BV295" s="267"/>
      <c r="BW295" s="267"/>
      <c r="BX295" s="267"/>
      <c r="BY295" s="267"/>
      <c r="BZ295" s="267"/>
      <c r="CA295" s="267"/>
      <c r="CB295" s="267"/>
    </row>
    <row r="296" spans="1:80" ht="24" customHeight="1" outlineLevel="1" x14ac:dyDescent="0.2">
      <c r="A296" s="312"/>
      <c r="B296" s="509" t="s">
        <v>113</v>
      </c>
      <c r="C296" s="510" t="s">
        <v>165</v>
      </c>
      <c r="D296" s="580" t="s">
        <v>111</v>
      </c>
      <c r="E296" s="415" t="s">
        <v>142</v>
      </c>
      <c r="F296" s="414" t="s">
        <v>61</v>
      </c>
      <c r="G296" s="580" t="s">
        <v>50</v>
      </c>
      <c r="H296" s="581" t="s">
        <v>152</v>
      </c>
      <c r="I296" s="787" t="s">
        <v>156</v>
      </c>
      <c r="J296" s="453"/>
      <c r="K296" s="467"/>
      <c r="L296" s="467"/>
      <c r="M296" s="467"/>
      <c r="N296" s="488"/>
      <c r="O296" s="529"/>
      <c r="P296" s="488"/>
      <c r="Q296" s="374">
        <v>0.25</v>
      </c>
      <c r="R296" s="488"/>
      <c r="S296" s="419">
        <f>(1+Sensitivity_Asset_Val)*(EMP_Complex_Sys_Effort*(1+PM_Overhead)*$Q296)</f>
        <v>88</v>
      </c>
      <c r="T296" s="419">
        <f>(1+Sensitivity_Asset_Val)*(EMP_Complex_Sys_Effort*(1+PM_Overhead)*$Q296)*(1+Additional_VM_Effort)</f>
        <v>132</v>
      </c>
      <c r="U296" s="419">
        <f>(1+Sensitivity_Asset_Val)*(EMP_Complex_Sys_Effort*(1+PM_Overhead)*$Q296)</f>
        <v>88</v>
      </c>
      <c r="V296" s="419">
        <f>(1+Sensitivity_Asset_Val)*(EMP_Complex_Sys_Effort*(1+PM_Overhead)*$Q296)</f>
        <v>88</v>
      </c>
      <c r="W296" s="419">
        <f>(1+Sensitivity_Asset_Val)*0</f>
        <v>0</v>
      </c>
      <c r="X296" s="419">
        <f>(1+Sensitivity_Asset_Val)*(Inputs_Estimates!$E$14*(1+Inputs_Estimates!$E$19)*25%)</f>
        <v>88</v>
      </c>
      <c r="Y296" s="419">
        <f>(1+Sensitivity_Asset_Val)*(EMP_Complex_Sys_Effort*(1+PM_Overhead)*$Q296)*TierC_TierB_ratio</f>
        <v>44</v>
      </c>
      <c r="Z296" s="419">
        <f t="shared" ref="Y296:AA297" si="271">(1+Sensitivity_Asset_Val)*0</f>
        <v>0</v>
      </c>
      <c r="AA296" s="419">
        <f>Y296</f>
        <v>44</v>
      </c>
      <c r="AB296" s="264"/>
      <c r="AC296" s="529"/>
      <c r="AD296" s="467"/>
      <c r="AE296" s="374">
        <v>0.25</v>
      </c>
      <c r="AF296" s="487"/>
      <c r="AG296" s="410">
        <f>(1+Sensitivity_Asset_Val)*(DCC_Complex_Sys_Effort*(1+PM_Overhead)*$AE296)</f>
        <v>105.87500000000001</v>
      </c>
      <c r="AH296" s="410">
        <f>(1+Sensitivity_Asset_Val)*(DCC_Complex_Sys_Effort*(1+PM_Overhead)*$AE296)</f>
        <v>105.87500000000001</v>
      </c>
      <c r="AI296" s="410">
        <f>(1+Sensitivity_Asset_Val)*(DCC_Complex_Sys_Effort*(1+PM_Overhead)*$AE296)</f>
        <v>105.87500000000001</v>
      </c>
      <c r="AJ296" s="410">
        <f>(1+Sensitivity_Asset_Val)*(DCC_Complex_Sys_Effort*(1+PM_Overhead)*$AE296)</f>
        <v>105.87500000000001</v>
      </c>
      <c r="AK296" s="410">
        <f>(1+Sensitivity_Asset_Val)*0</f>
        <v>0</v>
      </c>
      <c r="AL296" s="410">
        <f>(1+Sensitivity_Asset_Val)*0</f>
        <v>0</v>
      </c>
      <c r="AM296" s="410">
        <f>(1+Sensitivity_Asset_Val)*(DCC_Complex_Sys_Effort*(1+PM_Overhead)*$AE296)*TierC_TierB_ratio</f>
        <v>52.937500000000007</v>
      </c>
      <c r="AN296" s="410">
        <f>(1+Sensitivity_Asset_Val)*0</f>
        <v>0</v>
      </c>
      <c r="AO296" s="410">
        <f>AM296</f>
        <v>52.937500000000007</v>
      </c>
      <c r="AP296" s="264"/>
      <c r="AQ296" s="264"/>
      <c r="AR296" s="529"/>
      <c r="AS296" s="467"/>
      <c r="AT296" s="374">
        <v>0.25</v>
      </c>
      <c r="AU296" s="488"/>
      <c r="AV296" s="419">
        <f>(1+Sensitivity_Asset_Val)*(EMP_Complex_Sys_Effort*(1+PM_Overhead)*$Q296)</f>
        <v>88</v>
      </c>
      <c r="AW296" s="419">
        <f>(1+Sensitivity_Asset_Val)*(EMP_Complex_Sys_Effort*(1+PM_Overhead)*$Q296)*(1+Additional_VM_Effort)</f>
        <v>132</v>
      </c>
      <c r="AX296" s="419">
        <f>(1+Sensitivity_Asset_Val)*(EMP_Complex_Sys_Effort*(1+PM_Overhead)*$Q296)</f>
        <v>88</v>
      </c>
      <c r="AY296" s="419">
        <f>(1+Sensitivity_Asset_Val)*(EMP_Complex_Sys_Effort*(1+PM_Overhead)*$Q296)</f>
        <v>88</v>
      </c>
      <c r="AZ296" s="419">
        <f>(1+Sensitivity_Asset_Val)*0</f>
        <v>0</v>
      </c>
      <c r="BA296" s="419">
        <f>(1+Sensitivity_Asset_Val)*(Inputs_Estimates!$E$14*(1+Inputs_Estimates!$E$19)*25%)</f>
        <v>88</v>
      </c>
      <c r="BB296" s="419">
        <f>(1+Sensitivity_Asset_Val)*(EMP_Complex_Sys_Effort*(1+PM_Overhead)*$Q296)*TierC_TierB_ratio</f>
        <v>44</v>
      </c>
      <c r="BC296" s="419">
        <f t="shared" ref="BB296:BD297" si="272">(1+Sensitivity_Asset_Val)*0</f>
        <v>0</v>
      </c>
      <c r="BD296" s="419">
        <f>BB296</f>
        <v>44</v>
      </c>
      <c r="BE296" s="264"/>
      <c r="BF296" s="529"/>
      <c r="BG296" s="467"/>
      <c r="BH296" s="374">
        <v>0.25</v>
      </c>
      <c r="BI296" s="487"/>
      <c r="BJ296" s="410">
        <f>(1+Sensitivity_Asset_Val)*(DCC_Complex_Sys_Effort*(1+PM_Overhead)*$AE296)</f>
        <v>105.87500000000001</v>
      </c>
      <c r="BK296" s="410">
        <f>(1+Sensitivity_Asset_Val)*(DCC_Complex_Sys_Effort*(1+PM_Overhead)*$AE296)</f>
        <v>105.87500000000001</v>
      </c>
      <c r="BL296" s="410">
        <f>(1+Sensitivity_Asset_Val)*(DCC_Complex_Sys_Effort*(1+PM_Overhead)*$AE296)</f>
        <v>105.87500000000001</v>
      </c>
      <c r="BM296" s="410">
        <f>(1+Sensitivity_Asset_Val)*(DCC_Complex_Sys_Effort*(1+PM_Overhead)*$AE296)</f>
        <v>105.87500000000001</v>
      </c>
      <c r="BN296" s="410">
        <f>(1+Sensitivity_Asset_Val)*0</f>
        <v>0</v>
      </c>
      <c r="BO296" s="410">
        <f>(1+Sensitivity_Asset_Val)*0</f>
        <v>0</v>
      </c>
      <c r="BP296" s="410">
        <f>(1+Sensitivity_Asset_Val)*(DCC_Complex_Sys_Effort*(1+PM_Overhead)*$AE296)*TierC_TierB_ratio</f>
        <v>52.937500000000007</v>
      </c>
      <c r="BQ296" s="410">
        <f>(1+Sensitivity_Asset_Val)*0</f>
        <v>0</v>
      </c>
      <c r="BR296" s="410">
        <f>BP296</f>
        <v>52.937500000000007</v>
      </c>
      <c r="BS296" s="263"/>
      <c r="BT296" s="267"/>
      <c r="BU296" s="267"/>
      <c r="BV296" s="267"/>
      <c r="BW296" s="267"/>
      <c r="BX296" s="267"/>
      <c r="BY296" s="267"/>
      <c r="BZ296" s="267"/>
      <c r="CA296" s="267"/>
      <c r="CB296" s="267"/>
    </row>
    <row r="297" spans="1:80" ht="24" customHeight="1" outlineLevel="1" x14ac:dyDescent="0.2">
      <c r="A297" s="312"/>
      <c r="B297" s="509" t="s">
        <v>113</v>
      </c>
      <c r="C297" s="510" t="s">
        <v>165</v>
      </c>
      <c r="D297" s="580" t="s">
        <v>111</v>
      </c>
      <c r="E297" s="415" t="s">
        <v>142</v>
      </c>
      <c r="F297" s="414" t="s">
        <v>30</v>
      </c>
      <c r="G297" s="583" t="s">
        <v>50</v>
      </c>
      <c r="H297" s="581" t="s">
        <v>119</v>
      </c>
      <c r="I297" s="787"/>
      <c r="J297" s="453"/>
      <c r="K297" s="467"/>
      <c r="L297" s="467"/>
      <c r="M297" s="467"/>
      <c r="N297" s="488"/>
      <c r="O297" s="529"/>
      <c r="P297" s="488"/>
      <c r="Q297" s="374">
        <v>0</v>
      </c>
      <c r="R297" s="488"/>
      <c r="S297" s="419">
        <f>(1+Sensitivity_Asset_Val)*0</f>
        <v>0</v>
      </c>
      <c r="T297" s="419">
        <f>(1+Sensitivity_Asset_Val)*0</f>
        <v>0</v>
      </c>
      <c r="U297" s="419">
        <f>(1+Sensitivity_Asset_Val)*0</f>
        <v>0</v>
      </c>
      <c r="V297" s="419">
        <f>(1+Sensitivity_Asset_Val)*0</f>
        <v>0</v>
      </c>
      <c r="W297" s="419">
        <f>(1+Sensitivity_Asset_Val)*0</f>
        <v>0</v>
      </c>
      <c r="X297" s="419">
        <f>(1+Sensitivity_Asset_Val)*0</f>
        <v>0</v>
      </c>
      <c r="Y297" s="419">
        <f t="shared" si="271"/>
        <v>0</v>
      </c>
      <c r="Z297" s="419">
        <f t="shared" si="271"/>
        <v>0</v>
      </c>
      <c r="AA297" s="419">
        <f t="shared" si="271"/>
        <v>0</v>
      </c>
      <c r="AB297" s="264"/>
      <c r="AC297" s="529" t="s">
        <v>233</v>
      </c>
      <c r="AD297" s="467"/>
      <c r="AE297" s="374">
        <v>0</v>
      </c>
      <c r="AF297" s="487"/>
      <c r="AG297" s="600">
        <f>(1+Sensitivity_Asset_Val)*hw_interface_costs*$AE297</f>
        <v>0</v>
      </c>
      <c r="AH297" s="600">
        <f>(1+Sensitivity_Asset_Val)*hw_interface_costs*$AE297</f>
        <v>0</v>
      </c>
      <c r="AI297" s="600">
        <f>(1+Sensitivity_Asset_Val)*hw_interface_costs*$AE297</f>
        <v>0</v>
      </c>
      <c r="AJ297" s="600">
        <f>(1+Sensitivity_Asset_Val)*hw_interface_costs*$AE297</f>
        <v>0</v>
      </c>
      <c r="AK297" s="419">
        <f>(1+Sensitivity_Asset_Val)*0</f>
        <v>0</v>
      </c>
      <c r="AL297" s="419">
        <f>(1+Sensitivity_Asset_Val)*0</f>
        <v>0</v>
      </c>
      <c r="AM297" s="419">
        <f>AJ297*TierC_TierB_ratio</f>
        <v>0</v>
      </c>
      <c r="AN297" s="419">
        <f>(1+Sensitivity_Asset_Val)*0</f>
        <v>0</v>
      </c>
      <c r="AO297" s="419">
        <f>AM297</f>
        <v>0</v>
      </c>
      <c r="AP297" s="264"/>
      <c r="AQ297" s="264"/>
      <c r="AR297" s="529"/>
      <c r="AS297" s="467"/>
      <c r="AT297" s="488"/>
      <c r="AU297" s="488"/>
      <c r="AV297" s="419">
        <f>(1+Sensitivity_Asset_Val)*0</f>
        <v>0</v>
      </c>
      <c r="AW297" s="419">
        <f>(1+Sensitivity_Asset_Val)*0</f>
        <v>0</v>
      </c>
      <c r="AX297" s="419">
        <f>(1+Sensitivity_Asset_Val)*0</f>
        <v>0</v>
      </c>
      <c r="AY297" s="419">
        <f>(1+Sensitivity_Asset_Val)*0</f>
        <v>0</v>
      </c>
      <c r="AZ297" s="419">
        <f>(1+Sensitivity_Asset_Val)*0</f>
        <v>0</v>
      </c>
      <c r="BA297" s="419">
        <f>(1+Sensitivity_Asset_Val)*0</f>
        <v>0</v>
      </c>
      <c r="BB297" s="419">
        <f t="shared" si="272"/>
        <v>0</v>
      </c>
      <c r="BC297" s="419">
        <f t="shared" si="272"/>
        <v>0</v>
      </c>
      <c r="BD297" s="419">
        <f t="shared" si="272"/>
        <v>0</v>
      </c>
      <c r="BE297" s="264"/>
      <c r="BF297" s="529" t="s">
        <v>233</v>
      </c>
      <c r="BG297" s="467"/>
      <c r="BH297" s="374">
        <v>0</v>
      </c>
      <c r="BI297" s="487"/>
      <c r="BJ297" s="600">
        <f>(1+Sensitivity_Asset_Val)*hw_interface_costs*$AE297</f>
        <v>0</v>
      </c>
      <c r="BK297" s="600">
        <f>(1+Sensitivity_Asset_Val)*hw_interface_costs*$AE297</f>
        <v>0</v>
      </c>
      <c r="BL297" s="600">
        <f>(1+Sensitivity_Asset_Val)*hw_interface_costs*$AE297</f>
        <v>0</v>
      </c>
      <c r="BM297" s="600">
        <f>(1+Sensitivity_Asset_Val)*hw_interface_costs*$AE297</f>
        <v>0</v>
      </c>
      <c r="BN297" s="419">
        <f>(1+Sensitivity_Asset_Val)*0</f>
        <v>0</v>
      </c>
      <c r="BO297" s="419">
        <f>(1+Sensitivity_Asset_Val)*0</f>
        <v>0</v>
      </c>
      <c r="BP297" s="419">
        <f>BM297*TierC_TierB_ratio</f>
        <v>0</v>
      </c>
      <c r="BQ297" s="419">
        <f>(1+Sensitivity_Asset_Val)*0</f>
        <v>0</v>
      </c>
      <c r="BR297" s="419">
        <f>BP297</f>
        <v>0</v>
      </c>
      <c r="BS297" s="263"/>
      <c r="BT297" s="267"/>
      <c r="BU297" s="267"/>
      <c r="BV297" s="267"/>
      <c r="BW297" s="267"/>
      <c r="BX297" s="267"/>
      <c r="BY297" s="267"/>
      <c r="BZ297" s="267"/>
      <c r="CA297" s="267"/>
      <c r="CB297" s="267"/>
    </row>
    <row r="298" spans="1:80" ht="24" customHeight="1" outlineLevel="1" x14ac:dyDescent="0.2">
      <c r="A298" s="312"/>
      <c r="B298" s="509" t="s">
        <v>113</v>
      </c>
      <c r="C298" s="510" t="s">
        <v>165</v>
      </c>
      <c r="D298" s="580" t="s">
        <v>111</v>
      </c>
      <c r="E298" s="415" t="s">
        <v>142</v>
      </c>
      <c r="F298" s="585" t="s">
        <v>49</v>
      </c>
      <c r="G298" s="583" t="s">
        <v>47</v>
      </c>
      <c r="H298" s="581" t="s">
        <v>120</v>
      </c>
      <c r="I298" s="787"/>
      <c r="J298" s="453"/>
      <c r="K298" s="467"/>
      <c r="L298" s="467"/>
      <c r="M298" s="467"/>
      <c r="N298" s="488"/>
      <c r="O298" s="529"/>
      <c r="P298" s="488"/>
      <c r="Q298" s="488"/>
      <c r="R298" s="488"/>
      <c r="S298" s="374">
        <v>0.2</v>
      </c>
      <c r="T298" s="374">
        <v>0.2</v>
      </c>
      <c r="U298" s="374">
        <v>0.2</v>
      </c>
      <c r="V298" s="374">
        <v>0.2</v>
      </c>
      <c r="W298" s="374">
        <v>0.2</v>
      </c>
      <c r="X298" s="374">
        <v>0.2</v>
      </c>
      <c r="Y298" s="374">
        <v>0.2</v>
      </c>
      <c r="Z298" s="374">
        <v>0.2</v>
      </c>
      <c r="AA298" s="374">
        <v>0.2</v>
      </c>
      <c r="AB298" s="264"/>
      <c r="AC298" s="529"/>
      <c r="AD298" s="467"/>
      <c r="AE298" s="488"/>
      <c r="AF298" s="487"/>
      <c r="AG298" s="374">
        <v>0.2</v>
      </c>
      <c r="AH298" s="374">
        <v>0.2</v>
      </c>
      <c r="AI298" s="374">
        <f t="shared" ref="AI298" si="273">AG298</f>
        <v>0.2</v>
      </c>
      <c r="AJ298" s="374">
        <v>0.2</v>
      </c>
      <c r="AK298" s="374">
        <v>0.2</v>
      </c>
      <c r="AL298" s="374">
        <v>0.2</v>
      </c>
      <c r="AM298" s="374">
        <v>0.2</v>
      </c>
      <c r="AN298" s="374">
        <v>0.2</v>
      </c>
      <c r="AO298" s="374">
        <v>0.2</v>
      </c>
      <c r="AP298" s="264"/>
      <c r="AQ298" s="264"/>
      <c r="AR298" s="529"/>
      <c r="AS298" s="467"/>
      <c r="AT298" s="488"/>
      <c r="AU298" s="488"/>
      <c r="AV298" s="374">
        <v>0.2</v>
      </c>
      <c r="AW298" s="374">
        <v>0.2</v>
      </c>
      <c r="AX298" s="374">
        <v>0.2</v>
      </c>
      <c r="AY298" s="374">
        <v>0.2</v>
      </c>
      <c r="AZ298" s="374">
        <v>0.2</v>
      </c>
      <c r="BA298" s="374">
        <v>0.2</v>
      </c>
      <c r="BB298" s="374">
        <v>0.2</v>
      </c>
      <c r="BC298" s="374">
        <v>0.2</v>
      </c>
      <c r="BD298" s="374">
        <v>0.2</v>
      </c>
      <c r="BE298" s="264"/>
      <c r="BF298" s="529"/>
      <c r="BG298" s="467"/>
      <c r="BH298" s="488"/>
      <c r="BI298" s="487"/>
      <c r="BJ298" s="374">
        <v>0.2</v>
      </c>
      <c r="BK298" s="374">
        <v>0.2</v>
      </c>
      <c r="BL298" s="374">
        <f t="shared" ref="BL298" si="274">BJ298</f>
        <v>0.2</v>
      </c>
      <c r="BM298" s="374">
        <v>0.2</v>
      </c>
      <c r="BN298" s="374">
        <v>0.2</v>
      </c>
      <c r="BO298" s="374">
        <v>0.2</v>
      </c>
      <c r="BP298" s="374">
        <v>0.2</v>
      </c>
      <c r="BQ298" s="374">
        <v>0.2</v>
      </c>
      <c r="BR298" s="374">
        <v>0.2</v>
      </c>
      <c r="BS298" s="263"/>
      <c r="BT298" s="267"/>
      <c r="BU298" s="267"/>
      <c r="BV298" s="267"/>
      <c r="BW298" s="267"/>
      <c r="BX298" s="267"/>
      <c r="BY298" s="267"/>
      <c r="BZ298" s="267"/>
      <c r="CA298" s="267"/>
      <c r="CB298" s="267"/>
    </row>
    <row r="299" spans="1:80" ht="24" customHeight="1" outlineLevel="1" x14ac:dyDescent="0.2">
      <c r="A299" s="312"/>
      <c r="B299" s="437" t="s">
        <v>113</v>
      </c>
      <c r="C299" s="171" t="s">
        <v>165</v>
      </c>
      <c r="D299" s="562" t="s">
        <v>111</v>
      </c>
      <c r="E299" s="421" t="s">
        <v>143</v>
      </c>
      <c r="F299" s="433" t="s">
        <v>61</v>
      </c>
      <c r="G299" s="562" t="s">
        <v>50</v>
      </c>
      <c r="H299" s="564" t="s">
        <v>152</v>
      </c>
      <c r="I299" s="767" t="s">
        <v>246</v>
      </c>
      <c r="J299" s="453"/>
      <c r="K299" s="488"/>
      <c r="L299" s="488"/>
      <c r="M299" s="488"/>
      <c r="N299" s="488"/>
      <c r="O299" s="570"/>
      <c r="P299" s="488"/>
      <c r="Q299" s="374">
        <v>0.25</v>
      </c>
      <c r="R299" s="488"/>
      <c r="S299" s="419">
        <f>(1+Sensitivity_Asset_Val)*(EMP_Complex_Sys_Effort*(1+PM_Overhead)*$Q299)</f>
        <v>88</v>
      </c>
      <c r="T299" s="419">
        <f>(1+Sensitivity_Asset_Val)*(EMP_Complex_Sys_Effort*(1+PM_Overhead)*$Q299)*(1+Additional_VM_Effort)</f>
        <v>132</v>
      </c>
      <c r="U299" s="419">
        <f>(1+Sensitivity_Asset_Val)*(EMP_Complex_Sys_Effort*(1+PM_Overhead)*$Q299)</f>
        <v>88</v>
      </c>
      <c r="V299" s="419">
        <f>(1+Sensitivity_Asset_Val)*(EMP_Complex_Sys_Effort*(1+PM_Overhead)*$Q299)</f>
        <v>88</v>
      </c>
      <c r="W299" s="419">
        <v>0</v>
      </c>
      <c r="X299" s="419">
        <f>(1+Sensitivity_Asset_Val)*(EMP_Complex_Sys_Effort*(1+PM_Overhead)*$Q299)</f>
        <v>88</v>
      </c>
      <c r="Y299" s="419">
        <f>(1+Sensitivity_Asset_Val)*(EMP_Complex_Sys_Effort*(1+PM_Overhead)*$Q299)*TierC_TierB_ratio</f>
        <v>44</v>
      </c>
      <c r="Z299" s="419">
        <f t="shared" ref="Y299:AA300" si="275">(1+Sensitivity_Asset_Val)*0</f>
        <v>0</v>
      </c>
      <c r="AA299" s="419">
        <f>Y299</f>
        <v>44</v>
      </c>
      <c r="AB299" s="264"/>
      <c r="AC299" s="570"/>
      <c r="AD299" s="488"/>
      <c r="AE299" s="374">
        <v>0.25</v>
      </c>
      <c r="AF299" s="487"/>
      <c r="AG299" s="410">
        <f>(1+Sensitivity_Asset_Val)*(DCC_Complex_Sys_Effort*(1+PM_Overhead)*$AE299)</f>
        <v>105.87500000000001</v>
      </c>
      <c r="AH299" s="410">
        <f>(1+Sensitivity_Asset_Val)*(DCC_Complex_Sys_Effort*(1+PM_Overhead)*$AE299)</f>
        <v>105.87500000000001</v>
      </c>
      <c r="AI299" s="410">
        <f>(1+Sensitivity_Asset_Val)*(DCC_Complex_Sys_Effort*(1+PM_Overhead)*$AE299)</f>
        <v>105.87500000000001</v>
      </c>
      <c r="AJ299" s="410">
        <f>(1+Sensitivity_Asset_Val)*(DCC_Complex_Sys_Effort*(1+PM_Overhead)*$AE299)</f>
        <v>105.87500000000001</v>
      </c>
      <c r="AK299" s="410">
        <f>(1+Sensitivity_Asset_Val)*0</f>
        <v>0</v>
      </c>
      <c r="AL299" s="410">
        <f>(1+Sensitivity_Asset_Val)*0</f>
        <v>0</v>
      </c>
      <c r="AM299" s="410">
        <f>(1+Sensitivity_Asset_Val)*(DCC_Complex_Sys_Effort*(1+PM_Overhead)*$AE299)*TierC_TierB_ratio</f>
        <v>52.937500000000007</v>
      </c>
      <c r="AN299" s="410">
        <f>(1+Sensitivity_Asset_Val)*0</f>
        <v>0</v>
      </c>
      <c r="AO299" s="410">
        <f>AM299</f>
        <v>52.937500000000007</v>
      </c>
      <c r="AP299" s="264"/>
      <c r="AQ299" s="264"/>
      <c r="AR299" s="570"/>
      <c r="AS299" s="488"/>
      <c r="AT299" s="374">
        <v>0.25</v>
      </c>
      <c r="AU299" s="488"/>
      <c r="AV299" s="419">
        <f>(1+Sensitivity_Asset_Val)*(EMP_Complex_Sys_Effort*(1+PM_Overhead)*$Q299)</f>
        <v>88</v>
      </c>
      <c r="AW299" s="419">
        <f>(1+Sensitivity_Asset_Val)*(EMP_Complex_Sys_Effort*(1+PM_Overhead)*$Q299)*(1+Additional_VM_Effort)</f>
        <v>132</v>
      </c>
      <c r="AX299" s="419">
        <f>(1+Sensitivity_Asset_Val)*(EMP_Complex_Sys_Effort*(1+PM_Overhead)*$Q299)</f>
        <v>88</v>
      </c>
      <c r="AY299" s="419">
        <f>(1+Sensitivity_Asset_Val)*(EMP_Complex_Sys_Effort*(1+PM_Overhead)*$Q299)</f>
        <v>88</v>
      </c>
      <c r="AZ299" s="419">
        <v>0</v>
      </c>
      <c r="BA299" s="419">
        <f>(1+Sensitivity_Asset_Val)*(EMP_Complex_Sys_Effort*(1+PM_Overhead)*$Q299)</f>
        <v>88</v>
      </c>
      <c r="BB299" s="419">
        <f>(1+Sensitivity_Asset_Val)*(EMP_Complex_Sys_Effort*(1+PM_Overhead)*$Q299)*TierC_TierB_ratio</f>
        <v>44</v>
      </c>
      <c r="BC299" s="419">
        <f t="shared" ref="BB299:BD300" si="276">(1+Sensitivity_Asset_Val)*0</f>
        <v>0</v>
      </c>
      <c r="BD299" s="419">
        <f>BB299</f>
        <v>44</v>
      </c>
      <c r="BE299" s="264"/>
      <c r="BF299" s="570"/>
      <c r="BG299" s="488"/>
      <c r="BH299" s="374">
        <v>0.25</v>
      </c>
      <c r="BI299" s="487"/>
      <c r="BJ299" s="410">
        <f>(1+Sensitivity_Asset_Val)*(DCC_Complex_Sys_Effort*(1+PM_Overhead)*$AE299)</f>
        <v>105.87500000000001</v>
      </c>
      <c r="BK299" s="410">
        <f>(1+Sensitivity_Asset_Val)*(DCC_Complex_Sys_Effort*(1+PM_Overhead)*$AE299)</f>
        <v>105.87500000000001</v>
      </c>
      <c r="BL299" s="410">
        <f>(1+Sensitivity_Asset_Val)*(DCC_Complex_Sys_Effort*(1+PM_Overhead)*$AE299)</f>
        <v>105.87500000000001</v>
      </c>
      <c r="BM299" s="410">
        <f>(1+Sensitivity_Asset_Val)*(DCC_Complex_Sys_Effort*(1+PM_Overhead)*$AE299)</f>
        <v>105.87500000000001</v>
      </c>
      <c r="BN299" s="410">
        <f>(1+Sensitivity_Asset_Val)*0</f>
        <v>0</v>
      </c>
      <c r="BO299" s="410">
        <f>(1+Sensitivity_Asset_Val)*0</f>
        <v>0</v>
      </c>
      <c r="BP299" s="410">
        <f>(1+Sensitivity_Asset_Val)*(DCC_Complex_Sys_Effort*(1+PM_Overhead)*$AE299)*TierC_TierB_ratio</f>
        <v>52.937500000000007</v>
      </c>
      <c r="BQ299" s="410">
        <f>(1+Sensitivity_Asset_Val)*0</f>
        <v>0</v>
      </c>
      <c r="BR299" s="410">
        <f>BP299</f>
        <v>52.937500000000007</v>
      </c>
      <c r="BS299" s="263"/>
      <c r="BT299" s="267"/>
      <c r="BU299" s="267"/>
      <c r="BV299" s="267"/>
      <c r="BW299" s="267"/>
      <c r="BX299" s="267"/>
      <c r="BY299" s="267"/>
      <c r="BZ299" s="267"/>
      <c r="CA299" s="267"/>
      <c r="CB299" s="267"/>
    </row>
    <row r="300" spans="1:80" ht="24" customHeight="1" outlineLevel="1" x14ac:dyDescent="0.2">
      <c r="A300" s="312"/>
      <c r="B300" s="437" t="s">
        <v>113</v>
      </c>
      <c r="C300" s="171" t="s">
        <v>165</v>
      </c>
      <c r="D300" s="562" t="s">
        <v>111</v>
      </c>
      <c r="E300" s="421" t="s">
        <v>143</v>
      </c>
      <c r="F300" s="433" t="s">
        <v>30</v>
      </c>
      <c r="G300" s="563" t="s">
        <v>50</v>
      </c>
      <c r="H300" s="564" t="s">
        <v>119</v>
      </c>
      <c r="I300" s="767"/>
      <c r="J300" s="453"/>
      <c r="K300" s="488"/>
      <c r="L300" s="488"/>
      <c r="M300" s="488"/>
      <c r="N300" s="488"/>
      <c r="O300" s="570"/>
      <c r="P300" s="488"/>
      <c r="Q300" s="374">
        <v>0</v>
      </c>
      <c r="R300" s="488"/>
      <c r="S300" s="419">
        <f t="shared" ref="S300:X300" si="277">(1+Sensitivity_Asset_Val)*0</f>
        <v>0</v>
      </c>
      <c r="T300" s="419">
        <f t="shared" si="277"/>
        <v>0</v>
      </c>
      <c r="U300" s="419">
        <f t="shared" si="277"/>
        <v>0</v>
      </c>
      <c r="V300" s="419">
        <f t="shared" si="277"/>
        <v>0</v>
      </c>
      <c r="W300" s="419">
        <f t="shared" si="277"/>
        <v>0</v>
      </c>
      <c r="X300" s="419">
        <f t="shared" si="277"/>
        <v>0</v>
      </c>
      <c r="Y300" s="419">
        <f t="shared" si="275"/>
        <v>0</v>
      </c>
      <c r="Z300" s="419">
        <f t="shared" si="275"/>
        <v>0</v>
      </c>
      <c r="AA300" s="419">
        <f t="shared" si="275"/>
        <v>0</v>
      </c>
      <c r="AB300" s="264"/>
      <c r="AC300" s="570" t="s">
        <v>233</v>
      </c>
      <c r="AD300" s="488"/>
      <c r="AE300" s="374">
        <v>0</v>
      </c>
      <c r="AF300" s="487"/>
      <c r="AG300" s="600">
        <f>(1+Sensitivity_Asset_Val)*hw_interface_costs*$AE300</f>
        <v>0</v>
      </c>
      <c r="AH300" s="600">
        <f>(1+Sensitivity_Asset_Val)*hw_interface_costs*$AE300</f>
        <v>0</v>
      </c>
      <c r="AI300" s="600">
        <f>(1+Sensitivity_Asset_Val)*hw_interface_costs*$AE300</f>
        <v>0</v>
      </c>
      <c r="AJ300" s="600">
        <f>(1+Sensitivity_Asset_Val)*hw_interface_costs*$AE300</f>
        <v>0</v>
      </c>
      <c r="AK300" s="419">
        <f>(1+Sensitivity_Asset_Val)*0</f>
        <v>0</v>
      </c>
      <c r="AL300" s="419">
        <f>(1+Sensitivity_Asset_Val)*0</f>
        <v>0</v>
      </c>
      <c r="AM300" s="419">
        <f>AJ300*TierC_TierB_ratio</f>
        <v>0</v>
      </c>
      <c r="AN300" s="419">
        <f>(1+Sensitivity_Asset_Val)*0</f>
        <v>0</v>
      </c>
      <c r="AO300" s="419">
        <f>AM300</f>
        <v>0</v>
      </c>
      <c r="AP300" s="264"/>
      <c r="AQ300" s="264"/>
      <c r="AR300" s="570"/>
      <c r="AS300" s="488"/>
      <c r="AT300" s="488"/>
      <c r="AU300" s="488"/>
      <c r="AV300" s="419">
        <f t="shared" ref="AV300:BA300" si="278">(1+Sensitivity_Asset_Val)*0</f>
        <v>0</v>
      </c>
      <c r="AW300" s="419">
        <f t="shared" si="278"/>
        <v>0</v>
      </c>
      <c r="AX300" s="419">
        <f t="shared" si="278"/>
        <v>0</v>
      </c>
      <c r="AY300" s="419">
        <f t="shared" si="278"/>
        <v>0</v>
      </c>
      <c r="AZ300" s="419">
        <f t="shared" si="278"/>
        <v>0</v>
      </c>
      <c r="BA300" s="419">
        <f t="shared" si="278"/>
        <v>0</v>
      </c>
      <c r="BB300" s="419">
        <f t="shared" si="276"/>
        <v>0</v>
      </c>
      <c r="BC300" s="419">
        <f t="shared" si="276"/>
        <v>0</v>
      </c>
      <c r="BD300" s="419">
        <f t="shared" si="276"/>
        <v>0</v>
      </c>
      <c r="BE300" s="264"/>
      <c r="BF300" s="570" t="s">
        <v>233</v>
      </c>
      <c r="BG300" s="488"/>
      <c r="BH300" s="374">
        <v>0</v>
      </c>
      <c r="BI300" s="487"/>
      <c r="BJ300" s="600">
        <f>(1+Sensitivity_Asset_Val)*hw_interface_costs*$AE300</f>
        <v>0</v>
      </c>
      <c r="BK300" s="600">
        <f>(1+Sensitivity_Asset_Val)*hw_interface_costs*$AE300</f>
        <v>0</v>
      </c>
      <c r="BL300" s="600">
        <f>(1+Sensitivity_Asset_Val)*hw_interface_costs*$AE300</f>
        <v>0</v>
      </c>
      <c r="BM300" s="600">
        <f>(1+Sensitivity_Asset_Val)*hw_interface_costs*$AE300</f>
        <v>0</v>
      </c>
      <c r="BN300" s="419">
        <f>(1+Sensitivity_Asset_Val)*0</f>
        <v>0</v>
      </c>
      <c r="BO300" s="419">
        <f>(1+Sensitivity_Asset_Val)*0</f>
        <v>0</v>
      </c>
      <c r="BP300" s="419">
        <f>BM300*TierC_TierB_ratio</f>
        <v>0</v>
      </c>
      <c r="BQ300" s="419">
        <f>(1+Sensitivity_Asset_Val)*0</f>
        <v>0</v>
      </c>
      <c r="BR300" s="419">
        <f>BP300</f>
        <v>0</v>
      </c>
      <c r="BS300" s="263"/>
      <c r="BT300" s="267"/>
      <c r="BU300" s="267"/>
      <c r="BV300" s="267"/>
      <c r="BW300" s="267"/>
      <c r="BX300" s="267"/>
      <c r="BY300" s="267"/>
      <c r="BZ300" s="267"/>
      <c r="CA300" s="267"/>
      <c r="CB300" s="267"/>
    </row>
    <row r="301" spans="1:80" ht="24" customHeight="1" outlineLevel="1" x14ac:dyDescent="0.2">
      <c r="A301" s="312"/>
      <c r="B301" s="437" t="s">
        <v>113</v>
      </c>
      <c r="C301" s="171" t="s">
        <v>165</v>
      </c>
      <c r="D301" s="562" t="s">
        <v>111</v>
      </c>
      <c r="E301" s="421" t="s">
        <v>143</v>
      </c>
      <c r="F301" s="475" t="s">
        <v>49</v>
      </c>
      <c r="G301" s="563" t="s">
        <v>47</v>
      </c>
      <c r="H301" s="564" t="s">
        <v>120</v>
      </c>
      <c r="I301" s="767"/>
      <c r="J301" s="453"/>
      <c r="K301" s="488"/>
      <c r="L301" s="488"/>
      <c r="M301" s="488"/>
      <c r="N301" s="488"/>
      <c r="O301" s="570"/>
      <c r="P301" s="488"/>
      <c r="Q301" s="488"/>
      <c r="R301" s="488"/>
      <c r="S301" s="374">
        <v>0.2</v>
      </c>
      <c r="T301" s="374">
        <v>0.2</v>
      </c>
      <c r="U301" s="374">
        <v>0.2</v>
      </c>
      <c r="V301" s="374">
        <v>0.2</v>
      </c>
      <c r="W301" s="374">
        <v>0.2</v>
      </c>
      <c r="X301" s="374">
        <v>0.2</v>
      </c>
      <c r="Y301" s="374">
        <v>0.2</v>
      </c>
      <c r="Z301" s="374">
        <v>0.2</v>
      </c>
      <c r="AA301" s="374">
        <v>0.2</v>
      </c>
      <c r="AB301" s="264"/>
      <c r="AC301" s="570"/>
      <c r="AD301" s="488"/>
      <c r="AE301" s="488"/>
      <c r="AF301" s="487"/>
      <c r="AG301" s="374">
        <v>0.2</v>
      </c>
      <c r="AH301" s="374">
        <v>0.2</v>
      </c>
      <c r="AI301" s="374">
        <f t="shared" ref="AI301" si="279">AG301</f>
        <v>0.2</v>
      </c>
      <c r="AJ301" s="374">
        <v>0.2</v>
      </c>
      <c r="AK301" s="374">
        <v>0.2</v>
      </c>
      <c r="AL301" s="374">
        <v>0.2</v>
      </c>
      <c r="AM301" s="374">
        <v>0.2</v>
      </c>
      <c r="AN301" s="374">
        <v>0.2</v>
      </c>
      <c r="AO301" s="374">
        <v>0.2</v>
      </c>
      <c r="AP301" s="264"/>
      <c r="AQ301" s="264"/>
      <c r="AR301" s="570"/>
      <c r="AS301" s="488"/>
      <c r="AT301" s="488"/>
      <c r="AU301" s="488"/>
      <c r="AV301" s="374">
        <v>0.2</v>
      </c>
      <c r="AW301" s="374">
        <v>0.2</v>
      </c>
      <c r="AX301" s="374">
        <v>0.2</v>
      </c>
      <c r="AY301" s="374">
        <v>0.2</v>
      </c>
      <c r="AZ301" s="374">
        <v>0.2</v>
      </c>
      <c r="BA301" s="374">
        <v>0.2</v>
      </c>
      <c r="BB301" s="374">
        <v>0.2</v>
      </c>
      <c r="BC301" s="374">
        <v>0.2</v>
      </c>
      <c r="BD301" s="374">
        <v>0.2</v>
      </c>
      <c r="BE301" s="264"/>
      <c r="BF301" s="570"/>
      <c r="BG301" s="488"/>
      <c r="BH301" s="488"/>
      <c r="BI301" s="487"/>
      <c r="BJ301" s="374">
        <v>0.2</v>
      </c>
      <c r="BK301" s="374">
        <v>0.2</v>
      </c>
      <c r="BL301" s="374">
        <f t="shared" ref="BL301" si="280">BJ301</f>
        <v>0.2</v>
      </c>
      <c r="BM301" s="374">
        <v>0.2</v>
      </c>
      <c r="BN301" s="374">
        <v>0.2</v>
      </c>
      <c r="BO301" s="374">
        <v>0.2</v>
      </c>
      <c r="BP301" s="374">
        <v>0.2</v>
      </c>
      <c r="BQ301" s="374">
        <v>0.2</v>
      </c>
      <c r="BR301" s="374">
        <v>0.2</v>
      </c>
      <c r="BS301" s="263"/>
      <c r="BT301" s="267"/>
      <c r="BU301" s="267"/>
      <c r="BV301" s="267"/>
      <c r="BW301" s="267"/>
      <c r="BX301" s="267"/>
      <c r="BY301" s="267"/>
      <c r="BZ301" s="267"/>
      <c r="CA301" s="267"/>
      <c r="CB301" s="267"/>
    </row>
    <row r="302" spans="1:80" ht="24" customHeight="1" outlineLevel="1" x14ac:dyDescent="0.2">
      <c r="A302" s="312"/>
      <c r="B302" s="509" t="s">
        <v>113</v>
      </c>
      <c r="C302" s="510" t="s">
        <v>165</v>
      </c>
      <c r="D302" s="580" t="s">
        <v>111</v>
      </c>
      <c r="E302" s="415" t="s">
        <v>144</v>
      </c>
      <c r="F302" s="414" t="s">
        <v>61</v>
      </c>
      <c r="G302" s="580" t="s">
        <v>50</v>
      </c>
      <c r="H302" s="581" t="s">
        <v>152</v>
      </c>
      <c r="I302" s="788" t="s">
        <v>247</v>
      </c>
      <c r="J302" s="453"/>
      <c r="K302" s="467"/>
      <c r="L302" s="467"/>
      <c r="M302" s="467"/>
      <c r="N302" s="488"/>
      <c r="O302" s="529" t="s">
        <v>487</v>
      </c>
      <c r="P302" s="488"/>
      <c r="Q302" s="374">
        <v>0.25</v>
      </c>
      <c r="R302" s="488"/>
      <c r="S302" s="419">
        <f>(1+Sensitivity_Asset_Val)*(EMP_Complex_Sys_Effort*(1+PM_Overhead)*$Q302)</f>
        <v>88</v>
      </c>
      <c r="T302" s="419">
        <f>(1+Sensitivity_Asset_Val)*(EMP_Complex_Sys_Effort*(1+PM_Overhead)*$Q302)*(1+Additional_VM_Effort)</f>
        <v>132</v>
      </c>
      <c r="U302" s="419">
        <f>(1+Sensitivity_Asset_Val)*(EMP_Complex_Sys_Effort*(1+PM_Overhead)*$Q302)</f>
        <v>88</v>
      </c>
      <c r="V302" s="419">
        <f>(1+Sensitivity_Asset_Val)*(EMP_Complex_Sys_Effort*(1+PM_Overhead)*$Q302)</f>
        <v>88</v>
      </c>
      <c r="W302" s="419">
        <f>(1+Sensitivity_Asset_Val)*(EMP_Complex_Sys_Effort_OR*(1+PM_Overhead)*($Q302*2))</f>
        <v>242.00000000000003</v>
      </c>
      <c r="X302" s="419">
        <f>(1+Sensitivity_Asset_Val)*(EMP_Complex_Sys_Effort*(1+PM_Overhead)*$Q302)</f>
        <v>88</v>
      </c>
      <c r="Y302" s="419">
        <f>(1+Sensitivity_Asset_Val)*(EMP_Complex_Sys_Effort*(1+PM_Overhead)*$Q302)*TierC_TierB_ratio</f>
        <v>44</v>
      </c>
      <c r="Z302" s="419">
        <f t="shared" ref="Y302:AA303" si="281">(1+Sensitivity_Asset_Val)*0</f>
        <v>0</v>
      </c>
      <c r="AA302" s="419">
        <f>Y302</f>
        <v>44</v>
      </c>
      <c r="AB302" s="264"/>
      <c r="AC302" s="529"/>
      <c r="AD302" s="467"/>
      <c r="AE302" s="374">
        <v>0.25</v>
      </c>
      <c r="AF302" s="487"/>
      <c r="AG302" s="410">
        <f>(1+Sensitivity_Asset_Val)*(DCC_Complex_Sys_Effort*(1+PM_Overhead)*$AE302)</f>
        <v>105.87500000000001</v>
      </c>
      <c r="AH302" s="410">
        <f>(1+Sensitivity_Asset_Val)*(DCC_Complex_Sys_Effort*(1+PM_Overhead)*$AE302)</f>
        <v>105.87500000000001</v>
      </c>
      <c r="AI302" s="410">
        <f>(1+Sensitivity_Asset_Val)*(DCC_Complex_Sys_Effort*(1+PM_Overhead)*$AE302)</f>
        <v>105.87500000000001</v>
      </c>
      <c r="AJ302" s="410">
        <f>(1+Sensitivity_Asset_Val)*(DCC_Complex_Sys_Effort*(1+PM_Overhead)*$AE302)</f>
        <v>105.87500000000001</v>
      </c>
      <c r="AK302" s="410">
        <f>(1+Sensitivity_Asset_Val)*0</f>
        <v>0</v>
      </c>
      <c r="AL302" s="410">
        <f>(1+Sensitivity_Asset_Val)*0</f>
        <v>0</v>
      </c>
      <c r="AM302" s="410">
        <f>(1+Sensitivity_Asset_Val)*(DCC_Complex_Sys_Effort*(1+PM_Overhead)*$AE302)*TierC_TierB_ratio</f>
        <v>52.937500000000007</v>
      </c>
      <c r="AN302" s="410">
        <f>(1+Sensitivity_Asset_Val)*0</f>
        <v>0</v>
      </c>
      <c r="AO302" s="410">
        <f>AM302</f>
        <v>52.937500000000007</v>
      </c>
      <c r="AP302" s="264"/>
      <c r="AQ302" s="264"/>
      <c r="AR302" s="529" t="s">
        <v>487</v>
      </c>
      <c r="AS302" s="467"/>
      <c r="AT302" s="374">
        <v>0.25</v>
      </c>
      <c r="AU302" s="488"/>
      <c r="AV302" s="419">
        <f>(1+Sensitivity_Asset_Val)*(EMP_Complex_Sys_Effort*(1+PM_Overhead)*$Q302)</f>
        <v>88</v>
      </c>
      <c r="AW302" s="419">
        <f>(1+Sensitivity_Asset_Val)*(EMP_Complex_Sys_Effort*(1+PM_Overhead)*$Q302)*(1+Additional_VM_Effort)</f>
        <v>132</v>
      </c>
      <c r="AX302" s="419">
        <f>(1+Sensitivity_Asset_Val)*(EMP_Complex_Sys_Effort*(1+PM_Overhead)*$Q302)</f>
        <v>88</v>
      </c>
      <c r="AY302" s="419">
        <f>(1+Sensitivity_Asset_Val)*(EMP_Complex_Sys_Effort*(1+PM_Overhead)*$Q302)</f>
        <v>88</v>
      </c>
      <c r="AZ302" s="419">
        <f>(1+Sensitivity_Asset_Val)*(EMP_Complex_Sys_Effort_OR*(1+PM_Overhead)*($Q302*2))</f>
        <v>242.00000000000003</v>
      </c>
      <c r="BA302" s="419">
        <f>(1+Sensitivity_Asset_Val)*(EMP_Complex_Sys_Effort*(1+PM_Overhead)*$Q302)</f>
        <v>88</v>
      </c>
      <c r="BB302" s="419">
        <f>(1+Sensitivity_Asset_Val)*(EMP_Complex_Sys_Effort*(1+PM_Overhead)*$Q302)*TierC_TierB_ratio</f>
        <v>44</v>
      </c>
      <c r="BC302" s="419">
        <f t="shared" ref="BB302:BD303" si="282">(1+Sensitivity_Asset_Val)*0</f>
        <v>0</v>
      </c>
      <c r="BD302" s="419">
        <f>BB302</f>
        <v>44</v>
      </c>
      <c r="BE302" s="264"/>
      <c r="BF302" s="529"/>
      <c r="BG302" s="467"/>
      <c r="BH302" s="374">
        <v>0.25</v>
      </c>
      <c r="BI302" s="487"/>
      <c r="BJ302" s="410">
        <f>(1+Sensitivity_Asset_Val)*(DCC_Complex_Sys_Effort*(1+PM_Overhead)*$AE302)</f>
        <v>105.87500000000001</v>
      </c>
      <c r="BK302" s="410">
        <f>(1+Sensitivity_Asset_Val)*(DCC_Complex_Sys_Effort*(1+PM_Overhead)*$AE302)</f>
        <v>105.87500000000001</v>
      </c>
      <c r="BL302" s="410">
        <f>(1+Sensitivity_Asset_Val)*(DCC_Complex_Sys_Effort*(1+PM_Overhead)*$AE302)</f>
        <v>105.87500000000001</v>
      </c>
      <c r="BM302" s="410">
        <f>(1+Sensitivity_Asset_Val)*(DCC_Complex_Sys_Effort*(1+PM_Overhead)*$AE302)</f>
        <v>105.87500000000001</v>
      </c>
      <c r="BN302" s="410">
        <f>(1+Sensitivity_Asset_Val)*0</f>
        <v>0</v>
      </c>
      <c r="BO302" s="410">
        <f>(1+Sensitivity_Asset_Val)*0</f>
        <v>0</v>
      </c>
      <c r="BP302" s="410">
        <f>(1+Sensitivity_Asset_Val)*(DCC_Complex_Sys_Effort*(1+PM_Overhead)*$AE302)*TierC_TierB_ratio</f>
        <v>52.937500000000007</v>
      </c>
      <c r="BQ302" s="410">
        <f>(1+Sensitivity_Asset_Val)*0</f>
        <v>0</v>
      </c>
      <c r="BR302" s="410">
        <f>BP302</f>
        <v>52.937500000000007</v>
      </c>
      <c r="BS302" s="263"/>
      <c r="BT302" s="267"/>
      <c r="BU302" s="267"/>
      <c r="BV302" s="267"/>
      <c r="BW302" s="267"/>
      <c r="BX302" s="267"/>
      <c r="BY302" s="267"/>
      <c r="BZ302" s="267"/>
      <c r="CA302" s="267"/>
      <c r="CB302" s="267"/>
    </row>
    <row r="303" spans="1:80" ht="24" customHeight="1" outlineLevel="1" x14ac:dyDescent="0.2">
      <c r="A303" s="312"/>
      <c r="B303" s="509" t="s">
        <v>113</v>
      </c>
      <c r="C303" s="510" t="s">
        <v>165</v>
      </c>
      <c r="D303" s="580" t="s">
        <v>111</v>
      </c>
      <c r="E303" s="415" t="s">
        <v>144</v>
      </c>
      <c r="F303" s="414" t="s">
        <v>30</v>
      </c>
      <c r="G303" s="583" t="s">
        <v>50</v>
      </c>
      <c r="H303" s="581" t="s">
        <v>119</v>
      </c>
      <c r="I303" s="788"/>
      <c r="J303" s="453"/>
      <c r="K303" s="467"/>
      <c r="L303" s="467"/>
      <c r="M303" s="467"/>
      <c r="N303" s="488"/>
      <c r="O303" s="529"/>
      <c r="P303" s="488"/>
      <c r="Q303" s="374">
        <v>0</v>
      </c>
      <c r="R303" s="488"/>
      <c r="S303" s="419">
        <f t="shared" ref="S303:X303" si="283">(1+Sensitivity_Asset_Val)*0</f>
        <v>0</v>
      </c>
      <c r="T303" s="419">
        <f t="shared" si="283"/>
        <v>0</v>
      </c>
      <c r="U303" s="419">
        <f t="shared" si="283"/>
        <v>0</v>
      </c>
      <c r="V303" s="419">
        <f t="shared" si="283"/>
        <v>0</v>
      </c>
      <c r="W303" s="419">
        <f t="shared" si="283"/>
        <v>0</v>
      </c>
      <c r="X303" s="419">
        <f t="shared" si="283"/>
        <v>0</v>
      </c>
      <c r="Y303" s="419">
        <f t="shared" si="281"/>
        <v>0</v>
      </c>
      <c r="Z303" s="419">
        <f t="shared" si="281"/>
        <v>0</v>
      </c>
      <c r="AA303" s="419">
        <f t="shared" si="281"/>
        <v>0</v>
      </c>
      <c r="AB303" s="264"/>
      <c r="AC303" s="529" t="s">
        <v>233</v>
      </c>
      <c r="AD303" s="467"/>
      <c r="AE303" s="374">
        <v>0</v>
      </c>
      <c r="AF303" s="487"/>
      <c r="AG303" s="600">
        <f>(1+Sensitivity_Asset_Val)*hw_interface_costs*$AE303</f>
        <v>0</v>
      </c>
      <c r="AH303" s="600">
        <f>(1+Sensitivity_Asset_Val)*hw_interface_costs*$AE303</f>
        <v>0</v>
      </c>
      <c r="AI303" s="600">
        <f>(1+Sensitivity_Asset_Val)*hw_interface_costs*$AE303</f>
        <v>0</v>
      </c>
      <c r="AJ303" s="600">
        <f>(1+Sensitivity_Asset_Val)*hw_interface_costs*$AE303</f>
        <v>0</v>
      </c>
      <c r="AK303" s="419">
        <f>(1+Sensitivity_Asset_Val)*0</f>
        <v>0</v>
      </c>
      <c r="AL303" s="419">
        <f>(1+Sensitivity_Asset_Val)*0</f>
        <v>0</v>
      </c>
      <c r="AM303" s="419">
        <f>AJ303*TierC_TierB_ratio</f>
        <v>0</v>
      </c>
      <c r="AN303" s="419">
        <f>(1+Sensitivity_Asset_Val)*0</f>
        <v>0</v>
      </c>
      <c r="AO303" s="419">
        <f>AM303</f>
        <v>0</v>
      </c>
      <c r="AP303" s="264"/>
      <c r="AQ303" s="264"/>
      <c r="AR303" s="529"/>
      <c r="AS303" s="467"/>
      <c r="AT303" s="488"/>
      <c r="AU303" s="488"/>
      <c r="AV303" s="419">
        <f t="shared" ref="AV303:BA303" si="284">(1+Sensitivity_Asset_Val)*0</f>
        <v>0</v>
      </c>
      <c r="AW303" s="419">
        <f t="shared" si="284"/>
        <v>0</v>
      </c>
      <c r="AX303" s="419">
        <f t="shared" si="284"/>
        <v>0</v>
      </c>
      <c r="AY303" s="419">
        <f t="shared" si="284"/>
        <v>0</v>
      </c>
      <c r="AZ303" s="419">
        <f t="shared" si="284"/>
        <v>0</v>
      </c>
      <c r="BA303" s="419">
        <f t="shared" si="284"/>
        <v>0</v>
      </c>
      <c r="BB303" s="419">
        <f t="shared" si="282"/>
        <v>0</v>
      </c>
      <c r="BC303" s="419">
        <f t="shared" si="282"/>
        <v>0</v>
      </c>
      <c r="BD303" s="419">
        <f t="shared" si="282"/>
        <v>0</v>
      </c>
      <c r="BE303" s="264"/>
      <c r="BF303" s="529" t="s">
        <v>233</v>
      </c>
      <c r="BG303" s="467"/>
      <c r="BH303" s="374">
        <v>0</v>
      </c>
      <c r="BI303" s="487"/>
      <c r="BJ303" s="600">
        <f>(1+Sensitivity_Asset_Val)*hw_interface_costs*$AE303</f>
        <v>0</v>
      </c>
      <c r="BK303" s="600">
        <f>(1+Sensitivity_Asset_Val)*hw_interface_costs*$AE303</f>
        <v>0</v>
      </c>
      <c r="BL303" s="600">
        <f>(1+Sensitivity_Asset_Val)*hw_interface_costs*$AE303</f>
        <v>0</v>
      </c>
      <c r="BM303" s="600">
        <f>(1+Sensitivity_Asset_Val)*hw_interface_costs*$AE303</f>
        <v>0</v>
      </c>
      <c r="BN303" s="419">
        <f>(1+Sensitivity_Asset_Val)*0</f>
        <v>0</v>
      </c>
      <c r="BO303" s="419">
        <f>(1+Sensitivity_Asset_Val)*0</f>
        <v>0</v>
      </c>
      <c r="BP303" s="419">
        <f>BM303*TierC_TierB_ratio</f>
        <v>0</v>
      </c>
      <c r="BQ303" s="419">
        <f>(1+Sensitivity_Asset_Val)*0</f>
        <v>0</v>
      </c>
      <c r="BR303" s="419">
        <f>BP303</f>
        <v>0</v>
      </c>
      <c r="BS303" s="263"/>
      <c r="BT303" s="267"/>
      <c r="BU303" s="267"/>
      <c r="BV303" s="267"/>
      <c r="BW303" s="267"/>
      <c r="BX303" s="267"/>
      <c r="BY303" s="267"/>
      <c r="BZ303" s="267"/>
      <c r="CA303" s="267"/>
      <c r="CB303" s="267"/>
    </row>
    <row r="304" spans="1:80" ht="24" customHeight="1" outlineLevel="1" x14ac:dyDescent="0.2">
      <c r="A304" s="312"/>
      <c r="B304" s="509" t="s">
        <v>113</v>
      </c>
      <c r="C304" s="510" t="s">
        <v>165</v>
      </c>
      <c r="D304" s="580" t="s">
        <v>111</v>
      </c>
      <c r="E304" s="415" t="s">
        <v>144</v>
      </c>
      <c r="F304" s="585" t="s">
        <v>49</v>
      </c>
      <c r="G304" s="583" t="s">
        <v>47</v>
      </c>
      <c r="H304" s="581" t="s">
        <v>120</v>
      </c>
      <c r="I304" s="788"/>
      <c r="J304" s="453"/>
      <c r="K304" s="467"/>
      <c r="L304" s="467"/>
      <c r="M304" s="467"/>
      <c r="N304" s="488"/>
      <c r="O304" s="529"/>
      <c r="P304" s="488"/>
      <c r="Q304" s="488"/>
      <c r="R304" s="488"/>
      <c r="S304" s="374">
        <v>0.2</v>
      </c>
      <c r="T304" s="374">
        <v>0.2</v>
      </c>
      <c r="U304" s="374">
        <v>0.2</v>
      </c>
      <c r="V304" s="374">
        <v>0.2</v>
      </c>
      <c r="W304" s="374">
        <v>0.2</v>
      </c>
      <c r="X304" s="374">
        <v>0.2</v>
      </c>
      <c r="Y304" s="374">
        <v>0.2</v>
      </c>
      <c r="Z304" s="374">
        <v>0.2</v>
      </c>
      <c r="AA304" s="374">
        <v>0.2</v>
      </c>
      <c r="AB304" s="264"/>
      <c r="AC304" s="529"/>
      <c r="AD304" s="467"/>
      <c r="AE304" s="488"/>
      <c r="AF304" s="487"/>
      <c r="AG304" s="374">
        <v>0.2</v>
      </c>
      <c r="AH304" s="374">
        <v>0.2</v>
      </c>
      <c r="AI304" s="374">
        <f t="shared" ref="AI304" si="285">AG304</f>
        <v>0.2</v>
      </c>
      <c r="AJ304" s="374">
        <v>0.2</v>
      </c>
      <c r="AK304" s="374">
        <v>0.2</v>
      </c>
      <c r="AL304" s="374">
        <v>0.2</v>
      </c>
      <c r="AM304" s="374">
        <v>0.2</v>
      </c>
      <c r="AN304" s="374">
        <v>0.2</v>
      </c>
      <c r="AO304" s="374">
        <v>0.2</v>
      </c>
      <c r="AP304" s="264"/>
      <c r="AQ304" s="264"/>
      <c r="AR304" s="529"/>
      <c r="AS304" s="467"/>
      <c r="AT304" s="488"/>
      <c r="AU304" s="488"/>
      <c r="AV304" s="374">
        <v>0.2</v>
      </c>
      <c r="AW304" s="374">
        <v>0.2</v>
      </c>
      <c r="AX304" s="374">
        <v>0.2</v>
      </c>
      <c r="AY304" s="374">
        <v>0.2</v>
      </c>
      <c r="AZ304" s="374">
        <v>0.2</v>
      </c>
      <c r="BA304" s="374">
        <v>0.2</v>
      </c>
      <c r="BB304" s="374">
        <v>0.2</v>
      </c>
      <c r="BC304" s="374">
        <v>0.2</v>
      </c>
      <c r="BD304" s="374">
        <v>0.2</v>
      </c>
      <c r="BE304" s="264"/>
      <c r="BF304" s="529"/>
      <c r="BG304" s="467"/>
      <c r="BH304" s="488"/>
      <c r="BI304" s="487"/>
      <c r="BJ304" s="374">
        <v>0.2</v>
      </c>
      <c r="BK304" s="374">
        <v>0.2</v>
      </c>
      <c r="BL304" s="374">
        <f t="shared" ref="BL304" si="286">BJ304</f>
        <v>0.2</v>
      </c>
      <c r="BM304" s="374">
        <v>0.2</v>
      </c>
      <c r="BN304" s="374">
        <v>0.2</v>
      </c>
      <c r="BO304" s="374">
        <v>0.2</v>
      </c>
      <c r="BP304" s="374">
        <v>0.2</v>
      </c>
      <c r="BQ304" s="374">
        <v>0.2</v>
      </c>
      <c r="BR304" s="374">
        <v>0.2</v>
      </c>
      <c r="BS304" s="263"/>
      <c r="BT304" s="267"/>
      <c r="BU304" s="267"/>
      <c r="BV304" s="267"/>
      <c r="BW304" s="267"/>
      <c r="BX304" s="267"/>
      <c r="BY304" s="267"/>
      <c r="BZ304" s="267"/>
      <c r="CA304" s="267"/>
      <c r="CB304" s="267"/>
    </row>
    <row r="305" spans="1:80" ht="24" customHeight="1" outlineLevel="1" x14ac:dyDescent="0.2">
      <c r="A305" s="312"/>
      <c r="B305" s="437" t="s">
        <v>113</v>
      </c>
      <c r="C305" s="171" t="s">
        <v>165</v>
      </c>
      <c r="D305" s="562" t="s">
        <v>111</v>
      </c>
      <c r="E305" s="421" t="s">
        <v>157</v>
      </c>
      <c r="F305" s="433" t="s">
        <v>61</v>
      </c>
      <c r="G305" s="562" t="s">
        <v>50</v>
      </c>
      <c r="H305" s="564" t="s">
        <v>152</v>
      </c>
      <c r="I305" s="733" t="s">
        <v>248</v>
      </c>
      <c r="J305" s="453"/>
      <c r="K305" s="467"/>
      <c r="L305" s="467"/>
      <c r="M305" s="467"/>
      <c r="N305" s="488"/>
      <c r="O305" s="421" t="s">
        <v>487</v>
      </c>
      <c r="P305" s="488"/>
      <c r="Q305" s="374">
        <v>0.25</v>
      </c>
      <c r="R305" s="488"/>
      <c r="S305" s="419">
        <f>(1+Sensitivity_Asset_Val)*(EMP_Complex_Sys_Effort*(1+PM_Overhead)*$Q305)</f>
        <v>88</v>
      </c>
      <c r="T305" s="419">
        <f>(1+Sensitivity_Asset_Val)*(EMP_Complex_Sys_Effort*(1+PM_Overhead)*$Q305)*(1+Additional_VM_Effort)</f>
        <v>132</v>
      </c>
      <c r="U305" s="419">
        <f>(1+Sensitivity_Asset_Val)*(EMP_Complex_Sys_Effort*(1+PM_Overhead)*$Q305)</f>
        <v>88</v>
      </c>
      <c r="V305" s="419">
        <f>(1+Sensitivity_Asset_Val)*(EMP_Complex_Sys_Effort*(1+PM_Overhead)*$Q305)</f>
        <v>88</v>
      </c>
      <c r="W305" s="419">
        <f>(1+Sensitivity_Asset_Val)*(EMP_Complex_Sys_Effort_OR*(1+PM_Overhead)*($Q305*2))</f>
        <v>242.00000000000003</v>
      </c>
      <c r="X305" s="419">
        <f>(1+Sensitivity_Asset_Val)*(EMP_Complex_Sys_Effort*(1+PM_Overhead)*$Q305)</f>
        <v>88</v>
      </c>
      <c r="Y305" s="419">
        <f>(1+Sensitivity_Asset_Val)*(EMP_Complex_Sys_Effort*(1+PM_Overhead)*$Q305)*TierC_TierB_ratio</f>
        <v>44</v>
      </c>
      <c r="Z305" s="419">
        <f t="shared" ref="Y305:AA306" si="287">(1+Sensitivity_Asset_Val)*0</f>
        <v>0</v>
      </c>
      <c r="AA305" s="419">
        <f>Y305</f>
        <v>44</v>
      </c>
      <c r="AB305" s="264"/>
      <c r="AC305" s="421"/>
      <c r="AD305" s="467"/>
      <c r="AE305" s="374">
        <v>0.25</v>
      </c>
      <c r="AF305" s="487"/>
      <c r="AG305" s="410">
        <f>(1+Sensitivity_Asset_Val)*(DCC_Complex_Sys_Effort*(1+PM_Overhead)*$AE305)</f>
        <v>105.87500000000001</v>
      </c>
      <c r="AH305" s="410">
        <f>(1+Sensitivity_Asset_Val)*(DCC_Complex_Sys_Effort*(1+PM_Overhead)*$AE305)</f>
        <v>105.87500000000001</v>
      </c>
      <c r="AI305" s="410">
        <f>(1+Sensitivity_Asset_Val)*(DCC_Complex_Sys_Effort*(1+PM_Overhead)*$AE305)</f>
        <v>105.87500000000001</v>
      </c>
      <c r="AJ305" s="410">
        <f>(1+Sensitivity_Asset_Val)*(DCC_Complex_Sys_Effort*(1+PM_Overhead)*$AE305)</f>
        <v>105.87500000000001</v>
      </c>
      <c r="AK305" s="410">
        <f>(1+Sensitivity_Asset_Val)*0</f>
        <v>0</v>
      </c>
      <c r="AL305" s="410">
        <f>(1+Sensitivity_Asset_Val)*0</f>
        <v>0</v>
      </c>
      <c r="AM305" s="410">
        <f>(1+Sensitivity_Asset_Val)*(DCC_Complex_Sys_Effort*(1+PM_Overhead)*$AE305)*TierC_TierB_ratio</f>
        <v>52.937500000000007</v>
      </c>
      <c r="AN305" s="410">
        <f>(1+Sensitivity_Asset_Val)*0</f>
        <v>0</v>
      </c>
      <c r="AO305" s="410">
        <f>AM305</f>
        <v>52.937500000000007</v>
      </c>
      <c r="AP305" s="264"/>
      <c r="AQ305" s="264"/>
      <c r="AR305" s="421" t="s">
        <v>487</v>
      </c>
      <c r="AS305" s="467"/>
      <c r="AT305" s="374">
        <v>0.25</v>
      </c>
      <c r="AU305" s="488"/>
      <c r="AV305" s="419">
        <f>(1+Sensitivity_Asset_Val)*(EMP_Complex_Sys_Effort*(1+PM_Overhead)*$Q305)</f>
        <v>88</v>
      </c>
      <c r="AW305" s="419">
        <f>(1+Sensitivity_Asset_Val)*(EMP_Complex_Sys_Effort*(1+PM_Overhead)*$Q305)*(1+Additional_VM_Effort)</f>
        <v>132</v>
      </c>
      <c r="AX305" s="419">
        <f>(1+Sensitivity_Asset_Val)*(EMP_Complex_Sys_Effort*(1+PM_Overhead)*$Q305)</f>
        <v>88</v>
      </c>
      <c r="AY305" s="419">
        <f>(1+Sensitivity_Asset_Val)*(EMP_Complex_Sys_Effort*(1+PM_Overhead)*$Q305)</f>
        <v>88</v>
      </c>
      <c r="AZ305" s="419">
        <f>(1+Sensitivity_Asset_Val)*(EMP_Complex_Sys_Effort_OR*(1+PM_Overhead)*($Q305*2))</f>
        <v>242.00000000000003</v>
      </c>
      <c r="BA305" s="419">
        <f>(1+Sensitivity_Asset_Val)*(EMP_Complex_Sys_Effort*(1+PM_Overhead)*$Q305)</f>
        <v>88</v>
      </c>
      <c r="BB305" s="419">
        <f>(1+Sensitivity_Asset_Val)*(EMP_Complex_Sys_Effort*(1+PM_Overhead)*$Q305)*TierC_TierB_ratio</f>
        <v>44</v>
      </c>
      <c r="BC305" s="419">
        <f t="shared" ref="BB305:BD306" si="288">(1+Sensitivity_Asset_Val)*0</f>
        <v>0</v>
      </c>
      <c r="BD305" s="419">
        <f>BB305</f>
        <v>44</v>
      </c>
      <c r="BE305" s="264"/>
      <c r="BF305" s="421"/>
      <c r="BG305" s="467"/>
      <c r="BH305" s="374">
        <v>0.25</v>
      </c>
      <c r="BI305" s="487"/>
      <c r="BJ305" s="410">
        <f>(1+Sensitivity_Asset_Val)*(DCC_Complex_Sys_Effort*(1+PM_Overhead)*$AE305)</f>
        <v>105.87500000000001</v>
      </c>
      <c r="BK305" s="410">
        <f>(1+Sensitivity_Asset_Val)*(DCC_Complex_Sys_Effort*(1+PM_Overhead)*$AE305)</f>
        <v>105.87500000000001</v>
      </c>
      <c r="BL305" s="410">
        <f>(1+Sensitivity_Asset_Val)*(DCC_Complex_Sys_Effort*(1+PM_Overhead)*$AE305)</f>
        <v>105.87500000000001</v>
      </c>
      <c r="BM305" s="410">
        <f>(1+Sensitivity_Asset_Val)*(DCC_Complex_Sys_Effort*(1+PM_Overhead)*$AE305)</f>
        <v>105.87500000000001</v>
      </c>
      <c r="BN305" s="410">
        <f>(1+Sensitivity_Asset_Val)*0</f>
        <v>0</v>
      </c>
      <c r="BO305" s="410">
        <f>(1+Sensitivity_Asset_Val)*0</f>
        <v>0</v>
      </c>
      <c r="BP305" s="410">
        <f>(1+Sensitivity_Asset_Val)*(DCC_Complex_Sys_Effort*(1+PM_Overhead)*$AE305)*TierC_TierB_ratio</f>
        <v>52.937500000000007</v>
      </c>
      <c r="BQ305" s="410">
        <f>(1+Sensitivity_Asset_Val)*0</f>
        <v>0</v>
      </c>
      <c r="BR305" s="410">
        <f>BP305</f>
        <v>52.937500000000007</v>
      </c>
      <c r="BS305" s="263"/>
      <c r="BT305" s="267"/>
      <c r="BU305" s="267"/>
      <c r="BV305" s="267"/>
      <c r="BW305" s="267"/>
      <c r="BX305" s="267"/>
      <c r="BY305" s="267"/>
      <c r="BZ305" s="267"/>
      <c r="CA305" s="267"/>
      <c r="CB305" s="267"/>
    </row>
    <row r="306" spans="1:80" ht="24" customHeight="1" outlineLevel="1" x14ac:dyDescent="0.2">
      <c r="A306" s="312"/>
      <c r="B306" s="437" t="s">
        <v>113</v>
      </c>
      <c r="C306" s="171" t="s">
        <v>165</v>
      </c>
      <c r="D306" s="562" t="s">
        <v>111</v>
      </c>
      <c r="E306" s="421" t="s">
        <v>157</v>
      </c>
      <c r="F306" s="433" t="s">
        <v>30</v>
      </c>
      <c r="G306" s="563" t="s">
        <v>50</v>
      </c>
      <c r="H306" s="564" t="s">
        <v>119</v>
      </c>
      <c r="I306" s="733"/>
      <c r="J306" s="453"/>
      <c r="K306" s="467"/>
      <c r="L306" s="467"/>
      <c r="M306" s="467"/>
      <c r="N306" s="488"/>
      <c r="O306" s="421"/>
      <c r="P306" s="488"/>
      <c r="Q306" s="374">
        <v>0</v>
      </c>
      <c r="R306" s="488"/>
      <c r="S306" s="419">
        <f t="shared" ref="S306:X306" si="289">(1+Sensitivity_Asset_Val)*0</f>
        <v>0</v>
      </c>
      <c r="T306" s="419">
        <f t="shared" si="289"/>
        <v>0</v>
      </c>
      <c r="U306" s="419">
        <f t="shared" si="289"/>
        <v>0</v>
      </c>
      <c r="V306" s="419">
        <f t="shared" si="289"/>
        <v>0</v>
      </c>
      <c r="W306" s="419">
        <f t="shared" si="289"/>
        <v>0</v>
      </c>
      <c r="X306" s="419">
        <f t="shared" si="289"/>
        <v>0</v>
      </c>
      <c r="Y306" s="419">
        <f t="shared" si="287"/>
        <v>0</v>
      </c>
      <c r="Z306" s="419">
        <f t="shared" si="287"/>
        <v>0</v>
      </c>
      <c r="AA306" s="419">
        <f t="shared" si="287"/>
        <v>0</v>
      </c>
      <c r="AB306" s="264"/>
      <c r="AC306" s="421" t="s">
        <v>233</v>
      </c>
      <c r="AD306" s="467"/>
      <c r="AE306" s="374">
        <v>1</v>
      </c>
      <c r="AF306" s="487"/>
      <c r="AG306" s="600">
        <f>(1+Sensitivity_Asset_Val)*hw_interface_costs*$AE306</f>
        <v>40000</v>
      </c>
      <c r="AH306" s="600">
        <f>(1+Sensitivity_Asset_Val)*hw_interface_costs*$AE306</f>
        <v>40000</v>
      </c>
      <c r="AI306" s="600">
        <f>(1+Sensitivity_Asset_Val)*hw_interface_costs*$AE306</f>
        <v>40000</v>
      </c>
      <c r="AJ306" s="600">
        <f>(1+Sensitivity_Asset_Val)*hw_interface_costs*$AE306</f>
        <v>40000</v>
      </c>
      <c r="AK306" s="600">
        <f>(1+Sensitivity_Asset_Val)*0</f>
        <v>0</v>
      </c>
      <c r="AL306" s="600">
        <f>(1+Sensitivity_Asset_Val)*0</f>
        <v>0</v>
      </c>
      <c r="AM306" s="600">
        <f>(1+Sensitivity_Asset_Val)*hw_interface_costs*$AE306*TierC_TierB_ratio</f>
        <v>20000</v>
      </c>
      <c r="AN306" s="600">
        <f>(1+Sensitivity_Asset_Val)*0</f>
        <v>0</v>
      </c>
      <c r="AO306" s="600">
        <f>AM306</f>
        <v>20000</v>
      </c>
      <c r="AP306" s="264"/>
      <c r="AQ306" s="264"/>
      <c r="AR306" s="421"/>
      <c r="AS306" s="467"/>
      <c r="AT306" s="488"/>
      <c r="AU306" s="488"/>
      <c r="AV306" s="419">
        <f t="shared" ref="AV306:BA306" si="290">(1+Sensitivity_Asset_Val)*0</f>
        <v>0</v>
      </c>
      <c r="AW306" s="419">
        <f t="shared" si="290"/>
        <v>0</v>
      </c>
      <c r="AX306" s="419">
        <f t="shared" si="290"/>
        <v>0</v>
      </c>
      <c r="AY306" s="419">
        <f t="shared" si="290"/>
        <v>0</v>
      </c>
      <c r="AZ306" s="419">
        <f t="shared" si="290"/>
        <v>0</v>
      </c>
      <c r="BA306" s="419">
        <f t="shared" si="290"/>
        <v>0</v>
      </c>
      <c r="BB306" s="419">
        <f t="shared" si="288"/>
        <v>0</v>
      </c>
      <c r="BC306" s="419">
        <f t="shared" si="288"/>
        <v>0</v>
      </c>
      <c r="BD306" s="419">
        <f t="shared" si="288"/>
        <v>0</v>
      </c>
      <c r="BE306" s="264"/>
      <c r="BF306" s="421" t="s">
        <v>233</v>
      </c>
      <c r="BG306" s="467"/>
      <c r="BH306" s="374">
        <v>1</v>
      </c>
      <c r="BI306" s="487"/>
      <c r="BJ306" s="600">
        <f>(1+Sensitivity_Asset_Val)*hw_interface_costs*$AE306</f>
        <v>40000</v>
      </c>
      <c r="BK306" s="600">
        <f>(1+Sensitivity_Asset_Val)*hw_interface_costs*$AE306</f>
        <v>40000</v>
      </c>
      <c r="BL306" s="600">
        <f>(1+Sensitivity_Asset_Val)*hw_interface_costs*$AE306</f>
        <v>40000</v>
      </c>
      <c r="BM306" s="600">
        <f>(1+Sensitivity_Asset_Val)*hw_interface_costs*$AE306</f>
        <v>40000</v>
      </c>
      <c r="BN306" s="600">
        <f>(1+Sensitivity_Asset_Val)*0</f>
        <v>0</v>
      </c>
      <c r="BO306" s="600">
        <f>(1+Sensitivity_Asset_Val)*0</f>
        <v>0</v>
      </c>
      <c r="BP306" s="600">
        <f>(1+Sensitivity_Asset_Val)*hw_interface_costs*$AE306*TierC_TierB_ratio</f>
        <v>20000</v>
      </c>
      <c r="BQ306" s="600">
        <f>(1+Sensitivity_Asset_Val)*0</f>
        <v>0</v>
      </c>
      <c r="BR306" s="600">
        <f>BP306</f>
        <v>20000</v>
      </c>
      <c r="BS306" s="263"/>
      <c r="BT306" s="267"/>
      <c r="BU306" s="267"/>
      <c r="BV306" s="267"/>
      <c r="BW306" s="267"/>
      <c r="BX306" s="267"/>
      <c r="BY306" s="267"/>
      <c r="BZ306" s="267"/>
      <c r="CA306" s="267"/>
      <c r="CB306" s="267"/>
    </row>
    <row r="307" spans="1:80" ht="24" customHeight="1" outlineLevel="1" x14ac:dyDescent="0.2">
      <c r="A307" s="312"/>
      <c r="B307" s="437" t="s">
        <v>113</v>
      </c>
      <c r="C307" s="171" t="s">
        <v>165</v>
      </c>
      <c r="D307" s="562" t="s">
        <v>111</v>
      </c>
      <c r="E307" s="421" t="s">
        <v>157</v>
      </c>
      <c r="F307" s="475" t="s">
        <v>49</v>
      </c>
      <c r="G307" s="563" t="s">
        <v>47</v>
      </c>
      <c r="H307" s="564" t="s">
        <v>120</v>
      </c>
      <c r="I307" s="733"/>
      <c r="J307" s="453"/>
      <c r="K307" s="467"/>
      <c r="L307" s="467"/>
      <c r="M307" s="467"/>
      <c r="N307" s="488"/>
      <c r="O307" s="421"/>
      <c r="P307" s="488"/>
      <c r="Q307" s="488"/>
      <c r="R307" s="488"/>
      <c r="S307" s="374">
        <v>0.2</v>
      </c>
      <c r="T307" s="374">
        <v>0.2</v>
      </c>
      <c r="U307" s="374">
        <f t="shared" ref="U307" si="291">S307</f>
        <v>0.2</v>
      </c>
      <c r="V307" s="374">
        <v>0.2</v>
      </c>
      <c r="W307" s="374">
        <v>0.2</v>
      </c>
      <c r="X307" s="374">
        <v>0.2</v>
      </c>
      <c r="Y307" s="374">
        <v>0.2</v>
      </c>
      <c r="Z307" s="374">
        <v>0.2</v>
      </c>
      <c r="AA307" s="374">
        <v>0.2</v>
      </c>
      <c r="AB307" s="264"/>
      <c r="AC307" s="421"/>
      <c r="AD307" s="467"/>
      <c r="AE307" s="488"/>
      <c r="AF307" s="487"/>
      <c r="AG307" s="374">
        <v>0.2</v>
      </c>
      <c r="AH307" s="374">
        <v>0.2</v>
      </c>
      <c r="AI307" s="374">
        <f t="shared" ref="AI307" si="292">AG307</f>
        <v>0.2</v>
      </c>
      <c r="AJ307" s="374">
        <v>0.2</v>
      </c>
      <c r="AK307" s="374">
        <v>0.2</v>
      </c>
      <c r="AL307" s="374">
        <v>0.2</v>
      </c>
      <c r="AM307" s="374">
        <v>0.2</v>
      </c>
      <c r="AN307" s="374">
        <v>0.2</v>
      </c>
      <c r="AO307" s="374">
        <v>0.2</v>
      </c>
      <c r="AP307" s="264"/>
      <c r="AQ307" s="264"/>
      <c r="AR307" s="421"/>
      <c r="AS307" s="467"/>
      <c r="AT307" s="488"/>
      <c r="AU307" s="488"/>
      <c r="AV307" s="374">
        <v>0.2</v>
      </c>
      <c r="AW307" s="374">
        <v>0.2</v>
      </c>
      <c r="AX307" s="374">
        <f t="shared" ref="AX307" si="293">AV307</f>
        <v>0.2</v>
      </c>
      <c r="AY307" s="374">
        <v>0.2</v>
      </c>
      <c r="AZ307" s="374">
        <v>0.2</v>
      </c>
      <c r="BA307" s="374">
        <v>0.2</v>
      </c>
      <c r="BB307" s="374">
        <v>0.2</v>
      </c>
      <c r="BC307" s="374">
        <v>0.2</v>
      </c>
      <c r="BD307" s="374">
        <v>0.2</v>
      </c>
      <c r="BE307" s="264"/>
      <c r="BF307" s="421"/>
      <c r="BG307" s="467"/>
      <c r="BH307" s="488"/>
      <c r="BI307" s="487"/>
      <c r="BJ307" s="374">
        <v>0.2</v>
      </c>
      <c r="BK307" s="374">
        <v>0.2</v>
      </c>
      <c r="BL307" s="374">
        <f t="shared" ref="BL307" si="294">BJ307</f>
        <v>0.2</v>
      </c>
      <c r="BM307" s="374">
        <v>0.2</v>
      </c>
      <c r="BN307" s="374">
        <v>0.2</v>
      </c>
      <c r="BO307" s="374">
        <v>0.2</v>
      </c>
      <c r="BP307" s="374">
        <v>0.2</v>
      </c>
      <c r="BQ307" s="374">
        <v>0.2</v>
      </c>
      <c r="BR307" s="374">
        <v>0.2</v>
      </c>
      <c r="BS307" s="263"/>
      <c r="BT307" s="267"/>
      <c r="BU307" s="267"/>
      <c r="BV307" s="267"/>
      <c r="BW307" s="267"/>
      <c r="BX307" s="267"/>
      <c r="BY307" s="267"/>
      <c r="BZ307" s="267"/>
      <c r="CA307" s="267"/>
      <c r="CB307" s="267"/>
    </row>
    <row r="308" spans="1:80" s="135" customFormat="1" ht="24" customHeight="1" outlineLevel="1" x14ac:dyDescent="0.2">
      <c r="A308" s="315"/>
      <c r="B308" s="437"/>
      <c r="C308" s="171"/>
      <c r="D308" s="560"/>
      <c r="E308" s="488"/>
      <c r="F308" s="587"/>
      <c r="G308" s="587"/>
      <c r="H308" s="484" t="s">
        <v>204</v>
      </c>
      <c r="I308" s="525"/>
      <c r="J308" s="453"/>
      <c r="K308" s="467"/>
      <c r="L308" s="467"/>
      <c r="M308" s="467"/>
      <c r="N308" s="488"/>
      <c r="O308" s="525"/>
      <c r="P308" s="488"/>
      <c r="Q308" s="642"/>
      <c r="R308" s="488"/>
      <c r="S308" s="561">
        <f>SUMIF($H$290:$H$307,$H$290,S$290:S$307)</f>
        <v>484</v>
      </c>
      <c r="T308" s="561">
        <f>SUMIF($H$290:$H$307,$H$290,T$290:T$307)</f>
        <v>660</v>
      </c>
      <c r="U308" s="561">
        <f t="shared" ref="U308:W308" si="295">SUMIF($H$290:$H$307,$H$290,U$290:U$307)</f>
        <v>484</v>
      </c>
      <c r="V308" s="561">
        <f t="shared" si="295"/>
        <v>484</v>
      </c>
      <c r="W308" s="561">
        <f t="shared" si="295"/>
        <v>484.00000000000006</v>
      </c>
      <c r="X308" s="561">
        <f>SUMIF($H$290:$H$307,$H$290,X$290:X$307)</f>
        <v>352</v>
      </c>
      <c r="Y308" s="561">
        <f>SUMIF($H$290:$H$307,$H$290,Y$290:Y$307)</f>
        <v>242</v>
      </c>
      <c r="Z308" s="561">
        <f t="shared" ref="Z308:AA308" si="296">SUMIF($H$290:$H$307,$H$290,Z$290:Z$307)</f>
        <v>0</v>
      </c>
      <c r="AA308" s="561">
        <f t="shared" si="296"/>
        <v>242</v>
      </c>
      <c r="AB308" s="264"/>
      <c r="AC308" s="525"/>
      <c r="AD308" s="467"/>
      <c r="AE308" s="642"/>
      <c r="AF308" s="488"/>
      <c r="AG308" s="561">
        <f>SUMIF($H$290:$H$307,$H$290,AG$290:AG$307)</f>
        <v>555.5</v>
      </c>
      <c r="AH308" s="561">
        <f>SUMIF($H$290:$H$307,$H$290,AH$290:AH$307)</f>
        <v>555.5</v>
      </c>
      <c r="AI308" s="561">
        <f t="shared" ref="AI308:AK308" si="297">SUMIF($H$290:$H$307,$H$290,AI$290:AI$307)</f>
        <v>555.5</v>
      </c>
      <c r="AJ308" s="561">
        <f t="shared" si="297"/>
        <v>555.5</v>
      </c>
      <c r="AK308" s="561">
        <f t="shared" si="297"/>
        <v>0</v>
      </c>
      <c r="AL308" s="561">
        <f>SUMIF($H$290:$H$307,$H$290,AL$290:AL$307)</f>
        <v>0</v>
      </c>
      <c r="AM308" s="561">
        <f>SUMIF($H$290:$H$307,$H$290,AM$290:AM$307)</f>
        <v>277.75</v>
      </c>
      <c r="AN308" s="561">
        <f t="shared" ref="AN308:AO308" si="298">SUMIF($H$290:$H$307,$H$290,AN$290:AN$307)</f>
        <v>0</v>
      </c>
      <c r="AO308" s="561">
        <f t="shared" si="298"/>
        <v>277.75</v>
      </c>
      <c r="AP308" s="264"/>
      <c r="AQ308" s="264"/>
      <c r="AR308" s="525"/>
      <c r="AS308" s="467"/>
      <c r="AT308" s="642"/>
      <c r="AU308" s="488"/>
      <c r="AV308" s="561">
        <f>SUMIF($H$290:$H$307,$H$290,AV$290:AV$307)</f>
        <v>484</v>
      </c>
      <c r="AW308" s="561">
        <f>SUMIF($H$290:$H$307,$H$290,AW$290:AW$307)</f>
        <v>660</v>
      </c>
      <c r="AX308" s="561">
        <f t="shared" ref="AX308:AZ308" si="299">SUMIF($H$290:$H$307,$H$290,AX$290:AX$307)</f>
        <v>484</v>
      </c>
      <c r="AY308" s="561">
        <f t="shared" si="299"/>
        <v>484</v>
      </c>
      <c r="AZ308" s="561">
        <f t="shared" si="299"/>
        <v>484.00000000000006</v>
      </c>
      <c r="BA308" s="561">
        <f>SUMIF($H$290:$H$307,$H$290,BA$290:BA$307)</f>
        <v>352</v>
      </c>
      <c r="BB308" s="561">
        <f>SUMIF($H$290:$H$307,$H$290,BB$290:BB$307)</f>
        <v>242</v>
      </c>
      <c r="BC308" s="561">
        <f t="shared" ref="BC308:BD308" si="300">SUMIF($H$290:$H$307,$H$290,BC$290:BC$307)</f>
        <v>0</v>
      </c>
      <c r="BD308" s="561">
        <f t="shared" si="300"/>
        <v>242</v>
      </c>
      <c r="BE308" s="264"/>
      <c r="BF308" s="525"/>
      <c r="BG308" s="467"/>
      <c r="BH308" s="642"/>
      <c r="BI308" s="488"/>
      <c r="BJ308" s="561">
        <f>SUMIF($H$290:$H$307,$H$290,BJ$290:BJ$307)</f>
        <v>555.5</v>
      </c>
      <c r="BK308" s="561">
        <f>SUMIF($H$290:$H$307,$H$290,BK$290:BK$307)</f>
        <v>555.5</v>
      </c>
      <c r="BL308" s="561">
        <f t="shared" ref="BL308:BN308" si="301">SUMIF($H$290:$H$307,$H$290,BL$290:BL$307)</f>
        <v>555.5</v>
      </c>
      <c r="BM308" s="561">
        <f t="shared" si="301"/>
        <v>555.5</v>
      </c>
      <c r="BN308" s="561">
        <f t="shared" si="301"/>
        <v>0</v>
      </c>
      <c r="BO308" s="561">
        <f>SUMIF($H$290:$H$307,$H$290,BO$290:BO$307)</f>
        <v>0</v>
      </c>
      <c r="BP308" s="561">
        <f>SUMIF($H$290:$H$307,$H$290,BP$290:BP$307)</f>
        <v>277.75</v>
      </c>
      <c r="BQ308" s="561">
        <f t="shared" ref="BQ308:BR308" si="302">SUMIF($H$290:$H$307,$H$290,BQ$290:BQ$307)</f>
        <v>0</v>
      </c>
      <c r="BR308" s="561">
        <f t="shared" si="302"/>
        <v>277.75</v>
      </c>
      <c r="BS308" s="264"/>
      <c r="BT308" s="267"/>
      <c r="BU308" s="267"/>
      <c r="BV308" s="267"/>
      <c r="BW308" s="267"/>
      <c r="BX308" s="267"/>
      <c r="BY308" s="267"/>
      <c r="BZ308" s="267"/>
      <c r="CA308" s="267"/>
      <c r="CB308" s="267"/>
    </row>
    <row r="309" spans="1:80" s="268" customFormat="1" ht="24" customHeight="1" outlineLevel="1" x14ac:dyDescent="0.2">
      <c r="A309" s="315"/>
      <c r="B309" s="437"/>
      <c r="C309" s="171"/>
      <c r="D309" s="560"/>
      <c r="E309" s="488"/>
      <c r="F309" s="587"/>
      <c r="G309" s="587"/>
      <c r="H309" s="484" t="s">
        <v>434</v>
      </c>
      <c r="I309" s="525"/>
      <c r="J309" s="453"/>
      <c r="K309" s="467"/>
      <c r="L309" s="467"/>
      <c r="M309" s="467"/>
      <c r="N309" s="488"/>
      <c r="O309" s="525"/>
      <c r="P309" s="488"/>
      <c r="Q309" s="642">
        <f>SUMIF($H$290:$H$307,$H$291,Q$290:Q$307)</f>
        <v>0</v>
      </c>
      <c r="R309" s="488"/>
      <c r="S309" s="561">
        <f>SUMIF($H$290:$H$307,$H$291,S$290:S$307)</f>
        <v>0</v>
      </c>
      <c r="T309" s="561">
        <f>SUMIF($H$290:$H$307,$H$291,T$290:T$307)</f>
        <v>0</v>
      </c>
      <c r="U309" s="561">
        <f t="shared" ref="U309:W309" si="303">SUMIF($H$290:$H$307,$H$291,U$290:U$307)</f>
        <v>0</v>
      </c>
      <c r="V309" s="561">
        <f t="shared" si="303"/>
        <v>0</v>
      </c>
      <c r="W309" s="561">
        <f t="shared" si="303"/>
        <v>0</v>
      </c>
      <c r="X309" s="561">
        <f>SUMIF($H$290:$H$307,$H$291,X$290:X$307)</f>
        <v>0</v>
      </c>
      <c r="Y309" s="561">
        <f>SUMIF($H$290:$H$307,$H$291,Y$290:Y$307)</f>
        <v>0</v>
      </c>
      <c r="Z309" s="561">
        <f t="shared" ref="Z309:AA309" si="304">SUMIF($H$290:$H$307,$H$291,Z$290:Z$307)</f>
        <v>0</v>
      </c>
      <c r="AA309" s="561">
        <f t="shared" si="304"/>
        <v>0</v>
      </c>
      <c r="AB309" s="264"/>
      <c r="AC309" s="525"/>
      <c r="AD309" s="467"/>
      <c r="AE309" s="642">
        <f>SUMIF($H$290:$H$307,$H$291,AE$290:AE$307)</f>
        <v>1</v>
      </c>
      <c r="AF309" s="488"/>
      <c r="AG309" s="646">
        <f>SUMIF($H$290:$H$307,$H$291,AG$290:AG$307)</f>
        <v>40000</v>
      </c>
      <c r="AH309" s="646">
        <f>SUMIF($H$290:$H$307,$H$291,AH$290:AH$307)</f>
        <v>40000</v>
      </c>
      <c r="AI309" s="646">
        <f t="shared" ref="AI309:AK309" si="305">SUMIF($H$290:$H$307,$H$291,AI$290:AI$307)</f>
        <v>40000</v>
      </c>
      <c r="AJ309" s="646">
        <f t="shared" si="305"/>
        <v>40000</v>
      </c>
      <c r="AK309" s="646">
        <f t="shared" si="305"/>
        <v>0</v>
      </c>
      <c r="AL309" s="646">
        <f>SUMIF($H$290:$H$307,$H$291,AL$290:AL$307)</f>
        <v>0</v>
      </c>
      <c r="AM309" s="646">
        <f>SUMIF($H$290:$H$307,$H$291,AM$290:AM$307)</f>
        <v>20000</v>
      </c>
      <c r="AN309" s="646">
        <f t="shared" ref="AN309:AO309" si="306">SUMIF($H$290:$H$307,$H$291,AN$290:AN$307)</f>
        <v>0</v>
      </c>
      <c r="AO309" s="646">
        <f t="shared" si="306"/>
        <v>20000</v>
      </c>
      <c r="AP309" s="264"/>
      <c r="AQ309" s="264"/>
      <c r="AR309" s="525"/>
      <c r="AS309" s="467"/>
      <c r="AT309" s="642">
        <f>SUMIF($H$290:$H$307,$H$291,AT$290:AT$307)</f>
        <v>0</v>
      </c>
      <c r="AU309" s="488"/>
      <c r="AV309" s="561">
        <f>SUMIF($H$290:$H$307,$H$291,AV$290:AV$307)</f>
        <v>0</v>
      </c>
      <c r="AW309" s="561">
        <f>SUMIF($H$290:$H$307,$H$291,AW$290:AW$307)</f>
        <v>0</v>
      </c>
      <c r="AX309" s="561">
        <f t="shared" ref="AX309:AZ309" si="307">SUMIF($H$290:$H$307,$H$291,AX$290:AX$307)</f>
        <v>0</v>
      </c>
      <c r="AY309" s="561">
        <f t="shared" si="307"/>
        <v>0</v>
      </c>
      <c r="AZ309" s="561">
        <f t="shared" si="307"/>
        <v>0</v>
      </c>
      <c r="BA309" s="561">
        <f>SUMIF($H$290:$H$307,$H$291,BA$290:BA$307)</f>
        <v>0</v>
      </c>
      <c r="BB309" s="561">
        <f>SUMIF($H$290:$H$307,$H$291,BB$290:BB$307)</f>
        <v>0</v>
      </c>
      <c r="BC309" s="561">
        <f t="shared" ref="BC309:BD309" si="308">SUMIF($H$290:$H$307,$H$291,BC$290:BC$307)</f>
        <v>0</v>
      </c>
      <c r="BD309" s="561">
        <f t="shared" si="308"/>
        <v>0</v>
      </c>
      <c r="BE309" s="264"/>
      <c r="BF309" s="525"/>
      <c r="BG309" s="467"/>
      <c r="BH309" s="642">
        <f>SUMIF($H$290:$H$307,$H$291,BH$290:BH$307)</f>
        <v>1</v>
      </c>
      <c r="BI309" s="488"/>
      <c r="BJ309" s="646">
        <f>SUMIF($H$290:$H$307,$H$291,BJ$290:BJ$307)</f>
        <v>40000</v>
      </c>
      <c r="BK309" s="646">
        <f>SUMIF($H$290:$H$307,$H$291,BK$290:BK$307)</f>
        <v>40000</v>
      </c>
      <c r="BL309" s="646">
        <f t="shared" ref="BL309:BN309" si="309">SUMIF($H$290:$H$307,$H$291,BL$290:BL$307)</f>
        <v>40000</v>
      </c>
      <c r="BM309" s="646">
        <f t="shared" si="309"/>
        <v>40000</v>
      </c>
      <c r="BN309" s="646">
        <f t="shared" si="309"/>
        <v>0</v>
      </c>
      <c r="BO309" s="646">
        <f>SUMIF($H$290:$H$307,$H$291,BO$290:BO$307)</f>
        <v>0</v>
      </c>
      <c r="BP309" s="646">
        <f>SUMIF($H$290:$H$307,$H$291,BP$290:BP$307)</f>
        <v>20000</v>
      </c>
      <c r="BQ309" s="646">
        <f t="shared" ref="BQ309:BR309" si="310">SUMIF($H$290:$H$307,$H$291,BQ$290:BQ$307)</f>
        <v>0</v>
      </c>
      <c r="BR309" s="646">
        <f t="shared" si="310"/>
        <v>20000</v>
      </c>
      <c r="BS309" s="264"/>
      <c r="BT309" s="267"/>
      <c r="BU309" s="267"/>
      <c r="BV309" s="267"/>
      <c r="BW309" s="267"/>
      <c r="BX309" s="267"/>
      <c r="BY309" s="267"/>
      <c r="BZ309" s="267"/>
      <c r="CA309" s="267"/>
      <c r="CB309" s="267"/>
    </row>
    <row r="310" spans="1:80" ht="24" customHeight="1" x14ac:dyDescent="0.2">
      <c r="A310" s="312"/>
      <c r="B310" s="263"/>
      <c r="C310" s="263"/>
      <c r="D310" s="263"/>
      <c r="E310" s="263"/>
      <c r="F310" s="263"/>
      <c r="G310" s="506"/>
      <c r="H310" s="263"/>
      <c r="I310" s="345"/>
      <c r="J310" s="264"/>
      <c r="K310" s="263"/>
      <c r="L310" s="263"/>
      <c r="M310" s="263"/>
      <c r="N310" s="264"/>
      <c r="O310" s="263"/>
      <c r="P310" s="264"/>
      <c r="Q310" s="264"/>
      <c r="R310" s="264"/>
      <c r="S310" s="591"/>
      <c r="T310" s="591"/>
      <c r="U310" s="591"/>
      <c r="V310" s="591"/>
      <c r="W310" s="591"/>
      <c r="X310" s="591"/>
      <c r="Y310" s="591"/>
      <c r="Z310" s="591"/>
      <c r="AA310" s="591"/>
      <c r="AB310" s="264"/>
      <c r="AC310" s="263"/>
      <c r="AD310" s="264"/>
      <c r="AE310" s="264"/>
      <c r="AF310" s="263"/>
      <c r="AG310" s="591"/>
      <c r="AH310" s="591"/>
      <c r="AI310" s="591"/>
      <c r="AJ310" s="591"/>
      <c r="AK310" s="591"/>
      <c r="AL310" s="591"/>
      <c r="AM310" s="591"/>
      <c r="AN310" s="591"/>
      <c r="AO310" s="591"/>
      <c r="AP310" s="264"/>
      <c r="AQ310" s="264"/>
      <c r="AR310" s="263"/>
      <c r="AS310" s="264"/>
      <c r="AT310" s="264"/>
      <c r="AU310" s="264"/>
      <c r="AV310" s="591"/>
      <c r="AW310" s="591"/>
      <c r="AX310" s="591"/>
      <c r="AY310" s="591"/>
      <c r="AZ310" s="591"/>
      <c r="BA310" s="591"/>
      <c r="BB310" s="591"/>
      <c r="BC310" s="591"/>
      <c r="BD310" s="591"/>
      <c r="BE310" s="264"/>
      <c r="BF310" s="263"/>
      <c r="BG310" s="264"/>
      <c r="BH310" s="264"/>
      <c r="BI310" s="263"/>
      <c r="BJ310" s="591"/>
      <c r="BK310" s="591"/>
      <c r="BL310" s="591"/>
      <c r="BM310" s="591"/>
      <c r="BN310" s="591"/>
      <c r="BO310" s="591"/>
      <c r="BP310" s="591"/>
      <c r="BQ310" s="591"/>
      <c r="BR310" s="591"/>
      <c r="BS310" s="263"/>
    </row>
    <row r="311" spans="1:80" ht="127.5" customHeight="1" x14ac:dyDescent="0.2">
      <c r="A311" s="312"/>
      <c r="B311" s="647"/>
      <c r="C311" s="647" t="s">
        <v>113</v>
      </c>
      <c r="D311" s="648" t="s">
        <v>194</v>
      </c>
      <c r="E311" s="648"/>
      <c r="F311" s="648"/>
      <c r="G311" s="648"/>
      <c r="H311" s="620" t="s">
        <v>517</v>
      </c>
      <c r="I311" s="620"/>
      <c r="J311" s="621"/>
      <c r="K311" s="619"/>
      <c r="L311" s="619"/>
      <c r="M311" s="619"/>
      <c r="N311" s="622"/>
      <c r="O311" s="620" t="s">
        <v>518</v>
      </c>
      <c r="P311" s="622"/>
      <c r="Q311" s="622"/>
      <c r="R311" s="622"/>
      <c r="S311" s="649"/>
      <c r="T311" s="650"/>
      <c r="U311" s="650"/>
      <c r="V311" s="650"/>
      <c r="W311" s="650"/>
      <c r="X311" s="650"/>
      <c r="Y311" s="650"/>
      <c r="Z311" s="650"/>
      <c r="AA311" s="650"/>
      <c r="AB311" s="622"/>
      <c r="AC311" s="620" t="s">
        <v>519</v>
      </c>
      <c r="AD311" s="622"/>
      <c r="AE311" s="622"/>
      <c r="AF311" s="619"/>
      <c r="AG311" s="777"/>
      <c r="AH311" s="778"/>
      <c r="AI311" s="778"/>
      <c r="AJ311" s="778"/>
      <c r="AK311" s="778"/>
      <c r="AL311" s="778"/>
      <c r="AM311" s="778"/>
      <c r="AN311" s="778"/>
      <c r="AO311" s="778"/>
      <c r="AP311" s="622"/>
      <c r="AQ311" s="622"/>
      <c r="AR311" s="620" t="s">
        <v>518</v>
      </c>
      <c r="AS311" s="622"/>
      <c r="AT311" s="622"/>
      <c r="AU311" s="622"/>
      <c r="AV311" s="649"/>
      <c r="AW311" s="650"/>
      <c r="AX311" s="650"/>
      <c r="AY311" s="650"/>
      <c r="AZ311" s="650"/>
      <c r="BA311" s="650"/>
      <c r="BB311" s="650"/>
      <c r="BC311" s="650"/>
      <c r="BD311" s="650"/>
      <c r="BE311" s="622"/>
      <c r="BF311" s="620" t="s">
        <v>519</v>
      </c>
      <c r="BG311" s="622"/>
      <c r="BH311" s="622"/>
      <c r="BI311" s="619"/>
      <c r="BJ311" s="777"/>
      <c r="BK311" s="778"/>
      <c r="BL311" s="778"/>
      <c r="BM311" s="778"/>
      <c r="BN311" s="778"/>
      <c r="BO311" s="778"/>
      <c r="BP311" s="778"/>
      <c r="BQ311" s="778"/>
      <c r="BR311" s="778"/>
      <c r="BS311" s="263"/>
    </row>
    <row r="312" spans="1:80" ht="12.75" outlineLevel="1" x14ac:dyDescent="0.2">
      <c r="A312" s="312"/>
      <c r="B312" s="263"/>
      <c r="C312" s="263"/>
      <c r="D312" s="263"/>
      <c r="E312" s="263"/>
      <c r="F312" s="263"/>
      <c r="G312" s="506"/>
      <c r="H312" s="263"/>
      <c r="I312" s="345"/>
      <c r="J312" s="264"/>
      <c r="K312" s="263"/>
      <c r="L312" s="263"/>
      <c r="M312" s="263"/>
      <c r="N312" s="264"/>
      <c r="O312" s="263"/>
      <c r="P312" s="264"/>
      <c r="Q312" s="264"/>
      <c r="R312" s="264"/>
      <c r="S312" s="591"/>
      <c r="T312" s="591"/>
      <c r="U312" s="591"/>
      <c r="V312" s="591"/>
      <c r="W312" s="591"/>
      <c r="X312" s="591"/>
      <c r="Y312" s="591"/>
      <c r="Z312" s="591"/>
      <c r="AA312" s="591"/>
      <c r="AB312" s="264"/>
      <c r="AC312" s="263"/>
      <c r="AD312" s="264"/>
      <c r="AE312" s="264"/>
      <c r="AF312" s="263"/>
      <c r="AG312" s="591"/>
      <c r="AH312" s="591"/>
      <c r="AI312" s="591"/>
      <c r="AJ312" s="591"/>
      <c r="AK312" s="591"/>
      <c r="AL312" s="591"/>
      <c r="AM312" s="591"/>
      <c r="AN312" s="591"/>
      <c r="AO312" s="591"/>
      <c r="AP312" s="264"/>
      <c r="AQ312" s="264"/>
      <c r="AR312" s="263"/>
      <c r="AS312" s="264"/>
      <c r="AT312" s="264"/>
      <c r="AU312" s="264"/>
      <c r="AV312" s="591"/>
      <c r="AW312" s="591"/>
      <c r="AX312" s="591"/>
      <c r="AY312" s="591"/>
      <c r="AZ312" s="591"/>
      <c r="BA312" s="591"/>
      <c r="BB312" s="591"/>
      <c r="BC312" s="591"/>
      <c r="BD312" s="591"/>
      <c r="BE312" s="264"/>
      <c r="BF312" s="263"/>
      <c r="BG312" s="264"/>
      <c r="BH312" s="264"/>
      <c r="BI312" s="263"/>
      <c r="BJ312" s="591"/>
      <c r="BK312" s="591"/>
      <c r="BL312" s="591"/>
      <c r="BM312" s="591"/>
      <c r="BN312" s="591"/>
      <c r="BO312" s="591"/>
      <c r="BP312" s="591"/>
      <c r="BQ312" s="591"/>
      <c r="BR312" s="591"/>
      <c r="BS312" s="263"/>
    </row>
    <row r="313" spans="1:80" ht="24" customHeight="1" outlineLevel="1" x14ac:dyDescent="0.2">
      <c r="A313" s="400"/>
      <c r="B313" s="509" t="s">
        <v>113</v>
      </c>
      <c r="C313" s="510" t="s">
        <v>165</v>
      </c>
      <c r="D313" s="651" t="s">
        <v>109</v>
      </c>
      <c r="E313" s="413" t="s">
        <v>175</v>
      </c>
      <c r="F313" s="585" t="s">
        <v>51</v>
      </c>
      <c r="G313" s="413" t="s">
        <v>50</v>
      </c>
      <c r="H313" s="652" t="s">
        <v>214</v>
      </c>
      <c r="I313" s="744" t="s">
        <v>237</v>
      </c>
      <c r="J313" s="411"/>
      <c r="K313" s="523"/>
      <c r="L313" s="523"/>
      <c r="M313" s="523"/>
      <c r="N313" s="523"/>
      <c r="O313" s="651"/>
      <c r="P313" s="523"/>
      <c r="Q313" s="374">
        <v>0.5</v>
      </c>
      <c r="R313" s="523"/>
      <c r="S313" s="410">
        <f>(1+Sensitivity_BE_Order)*(Standard_Process_Effort*(1+PM_Overhead)*$Q313)</f>
        <v>16.5</v>
      </c>
      <c r="T313" s="410">
        <f>(1+Sensitivity_BE_Order)*(Standard_Process_Effort*(1+PM_Overhead)*$Q313)</f>
        <v>16.5</v>
      </c>
      <c r="U313" s="410">
        <f>(1+Sensitivity_BE_Order)*(Standard_Process_Effort*(1+PM_Overhead)*$Q313)</f>
        <v>16.5</v>
      </c>
      <c r="V313" s="410">
        <f>(1+Sensitivity_BE_Order)*(Standard_Process_Effort*(1+PM_Overhead)*$Q313)</f>
        <v>16.5</v>
      </c>
      <c r="W313" s="410">
        <f>(1+Sensitivity_BE_Order)*0</f>
        <v>0</v>
      </c>
      <c r="X313" s="410">
        <f>(1+Sensitivity_BE_Order)*0</f>
        <v>0</v>
      </c>
      <c r="Y313" s="410">
        <f>(1+Sensitivity_BE_Order)*0</f>
        <v>0</v>
      </c>
      <c r="Z313" s="410">
        <f>(1+Sensitivity_BE_Order)*0</f>
        <v>0</v>
      </c>
      <c r="AA313" s="410">
        <f>(1+Sensitivity_BE_Order)*0</f>
        <v>0</v>
      </c>
      <c r="AB313" s="93"/>
      <c r="AC313" s="651" t="s">
        <v>225</v>
      </c>
      <c r="AD313" s="523"/>
      <c r="AE313" s="374">
        <v>0.5</v>
      </c>
      <c r="AF313" s="628"/>
      <c r="AG313" s="410">
        <f>(1+Sensitivity_BE_Order)*(Standard_Process_Effort*(1+PM_Overhead)*$AE313)</f>
        <v>16.5</v>
      </c>
      <c r="AH313" s="410">
        <f>(1+Sensitivity_BE_Order)*(Standard_Process_Effort*(1+PM_Overhead)*$AE313)</f>
        <v>16.5</v>
      </c>
      <c r="AI313" s="410">
        <f>(1+Sensitivity_BE_Order)*(Standard_Process_Effort*(1+PM_Overhead)*$AE313)</f>
        <v>16.5</v>
      </c>
      <c r="AJ313" s="410">
        <f>(1+Sensitivity_BE_Order)*(Standard_Process_Effort*(1+PM_Overhead)*$AE313)</f>
        <v>16.5</v>
      </c>
      <c r="AK313" s="410">
        <f>(1+Sensitivity_BE_Order)*0</f>
        <v>0</v>
      </c>
      <c r="AL313" s="410">
        <f>(1+Sensitivity_BE_Order)*0</f>
        <v>0</v>
      </c>
      <c r="AM313" s="410">
        <f>(1+Sensitivity_BE_Order)*(Standard_Process_Effort*(1+PM_Overhead)*$AE313)*TierC_TierB_ratio</f>
        <v>8.25</v>
      </c>
      <c r="AN313" s="410">
        <f>(1+Sensitivity_BE_Order)*0</f>
        <v>0</v>
      </c>
      <c r="AO313" s="410">
        <f>AM313</f>
        <v>8.25</v>
      </c>
      <c r="AP313" s="264"/>
      <c r="AQ313" s="264"/>
      <c r="AR313" s="651" t="s">
        <v>225</v>
      </c>
      <c r="AS313" s="523"/>
      <c r="AT313" s="374">
        <v>0.5</v>
      </c>
      <c r="AU313" s="523"/>
      <c r="AV313" s="410">
        <f>(1+Sensitivity_BE_Order)*(Standard_Process_Effort*(1+PM_Overhead)*$Q313)</f>
        <v>16.5</v>
      </c>
      <c r="AW313" s="410">
        <f>(1+Sensitivity_BE_Order)*(Standard_Process_Effort*(1+PM_Overhead)*$Q313)</f>
        <v>16.5</v>
      </c>
      <c r="AX313" s="410">
        <f>(1+Sensitivity_BE_Order)*(Standard_Process_Effort*(1+PM_Overhead)*$Q313)</f>
        <v>16.5</v>
      </c>
      <c r="AY313" s="410">
        <f>(1+Sensitivity_BE_Order)*(Standard_Process_Effort*(1+PM_Overhead)*$Q313)</f>
        <v>16.5</v>
      </c>
      <c r="AZ313" s="410">
        <f>(1+Sensitivity_BE_Order)*0</f>
        <v>0</v>
      </c>
      <c r="BA313" s="410">
        <f>(1+Sensitivity_BE_Order)*0</f>
        <v>0</v>
      </c>
      <c r="BB313" s="410">
        <f>(1+Sensitivity_BE_Order)*0</f>
        <v>0</v>
      </c>
      <c r="BC313" s="410">
        <f>(1+Sensitivity_BE_Order)*0</f>
        <v>0</v>
      </c>
      <c r="BD313" s="410">
        <f>(1+Sensitivity_BE_Order)*0</f>
        <v>0</v>
      </c>
      <c r="BE313" s="264"/>
      <c r="BF313" s="651" t="s">
        <v>225</v>
      </c>
      <c r="BG313" s="523"/>
      <c r="BH313" s="374">
        <v>0.5</v>
      </c>
      <c r="BI313" s="628"/>
      <c r="BJ313" s="410">
        <f>(1+Sensitivity_BE_Order)*(Standard_Process_Effort*(1+PM_Overhead)*$AE313)</f>
        <v>16.5</v>
      </c>
      <c r="BK313" s="410">
        <f>(1+Sensitivity_BE_Order)*(Standard_Process_Effort*(1+PM_Overhead)*$AE313)</f>
        <v>16.5</v>
      </c>
      <c r="BL313" s="410">
        <f>(1+Sensitivity_BE_Order)*(Standard_Process_Effort*(1+PM_Overhead)*$AE313)</f>
        <v>16.5</v>
      </c>
      <c r="BM313" s="410">
        <f>(1+Sensitivity_BE_Order)*(Standard_Process_Effort*(1+PM_Overhead)*$AE313)</f>
        <v>16.5</v>
      </c>
      <c r="BN313" s="410">
        <f>(1+Sensitivity_BE_Order)*0</f>
        <v>0</v>
      </c>
      <c r="BO313" s="410">
        <f>(1+Sensitivity_BE_Order)*0</f>
        <v>0</v>
      </c>
      <c r="BP313" s="410">
        <f>(1+Sensitivity_BE_Order)*(Standard_Process_Effort*(1+PM_Overhead)*$AE313)*TierC_TierB_ratio</f>
        <v>8.25</v>
      </c>
      <c r="BQ313" s="410">
        <f>(1+Sensitivity_BE_Order)*0</f>
        <v>0</v>
      </c>
      <c r="BR313" s="410">
        <f>BP313</f>
        <v>8.25</v>
      </c>
      <c r="BS313" s="263"/>
      <c r="BU313" s="267"/>
      <c r="BV313" s="267"/>
      <c r="BW313" s="267"/>
      <c r="BX313" s="267"/>
      <c r="BY313" s="267"/>
      <c r="BZ313" s="267"/>
      <c r="CA313" s="267"/>
      <c r="CB313" s="267"/>
    </row>
    <row r="314" spans="1:80" ht="24" customHeight="1" outlineLevel="1" x14ac:dyDescent="0.2">
      <c r="A314" s="400"/>
      <c r="B314" s="509" t="s">
        <v>113</v>
      </c>
      <c r="C314" s="510" t="s">
        <v>165</v>
      </c>
      <c r="D314" s="651" t="s">
        <v>109</v>
      </c>
      <c r="E314" s="413" t="s">
        <v>175</v>
      </c>
      <c r="F314" s="585" t="s">
        <v>49</v>
      </c>
      <c r="G314" s="413" t="s">
        <v>47</v>
      </c>
      <c r="H314" s="652" t="s">
        <v>118</v>
      </c>
      <c r="I314" s="745"/>
      <c r="J314" s="411"/>
      <c r="K314" s="523"/>
      <c r="L314" s="523"/>
      <c r="M314" s="523"/>
      <c r="N314" s="523"/>
      <c r="O314" s="515"/>
      <c r="P314" s="523"/>
      <c r="Q314" s="523"/>
      <c r="R314" s="523"/>
      <c r="S314" s="374">
        <v>0.2</v>
      </c>
      <c r="T314" s="374">
        <v>0.2</v>
      </c>
      <c r="U314" s="374">
        <v>0.2</v>
      </c>
      <c r="V314" s="374">
        <v>0.2</v>
      </c>
      <c r="W314" s="374">
        <v>0.2</v>
      </c>
      <c r="X314" s="374">
        <v>0.2</v>
      </c>
      <c r="Y314" s="374">
        <v>0.2</v>
      </c>
      <c r="Z314" s="374">
        <v>0.2</v>
      </c>
      <c r="AA314" s="374">
        <v>0.2</v>
      </c>
      <c r="AB314" s="93"/>
      <c r="AC314" s="515"/>
      <c r="AD314" s="523"/>
      <c r="AE314" s="523"/>
      <c r="AF314" s="628"/>
      <c r="AG314" s="374">
        <v>0.2</v>
      </c>
      <c r="AH314" s="374">
        <v>0.2</v>
      </c>
      <c r="AI314" s="374">
        <v>0.2</v>
      </c>
      <c r="AJ314" s="374">
        <v>0.2</v>
      </c>
      <c r="AK314" s="374">
        <v>0.2</v>
      </c>
      <c r="AL314" s="374">
        <v>0.2</v>
      </c>
      <c r="AM314" s="374">
        <v>0.2</v>
      </c>
      <c r="AN314" s="374">
        <v>0.2</v>
      </c>
      <c r="AO314" s="374">
        <v>0.2</v>
      </c>
      <c r="AP314" s="264"/>
      <c r="AQ314" s="264"/>
      <c r="AR314" s="515"/>
      <c r="AS314" s="523"/>
      <c r="AT314" s="523"/>
      <c r="AU314" s="523"/>
      <c r="AV314" s="374">
        <v>0.2</v>
      </c>
      <c r="AW314" s="374">
        <v>0.2</v>
      </c>
      <c r="AX314" s="374">
        <v>0.2</v>
      </c>
      <c r="AY314" s="374">
        <v>0.2</v>
      </c>
      <c r="AZ314" s="374">
        <v>0.2</v>
      </c>
      <c r="BA314" s="374">
        <v>0.2</v>
      </c>
      <c r="BB314" s="374">
        <v>0.2</v>
      </c>
      <c r="BC314" s="374">
        <v>0.2</v>
      </c>
      <c r="BD314" s="374">
        <v>0.2</v>
      </c>
      <c r="BE314" s="264"/>
      <c r="BF314" s="515"/>
      <c r="BG314" s="523"/>
      <c r="BH314" s="523"/>
      <c r="BI314" s="628"/>
      <c r="BJ314" s="374">
        <v>0.2</v>
      </c>
      <c r="BK314" s="374">
        <v>0.2</v>
      </c>
      <c r="BL314" s="374">
        <v>0.2</v>
      </c>
      <c r="BM314" s="374">
        <v>0.2</v>
      </c>
      <c r="BN314" s="374">
        <v>0.2</v>
      </c>
      <c r="BO314" s="374">
        <v>0.2</v>
      </c>
      <c r="BP314" s="374">
        <v>0.2</v>
      </c>
      <c r="BQ314" s="374">
        <v>0.2</v>
      </c>
      <c r="BR314" s="374">
        <v>0.2</v>
      </c>
      <c r="BS314" s="263"/>
      <c r="BT314" s="267"/>
      <c r="BU314" s="267"/>
      <c r="BV314" s="267"/>
      <c r="BW314" s="267"/>
      <c r="BX314" s="267"/>
      <c r="BY314" s="267"/>
      <c r="BZ314" s="267"/>
      <c r="CA314" s="267"/>
      <c r="CB314" s="267"/>
    </row>
    <row r="315" spans="1:80" ht="24" customHeight="1" outlineLevel="1" x14ac:dyDescent="0.2">
      <c r="A315" s="400"/>
      <c r="B315" s="509" t="s">
        <v>113</v>
      </c>
      <c r="C315" s="510" t="s">
        <v>165</v>
      </c>
      <c r="D315" s="651" t="s">
        <v>109</v>
      </c>
      <c r="E315" s="413" t="s">
        <v>175</v>
      </c>
      <c r="F315" s="585" t="s">
        <v>51</v>
      </c>
      <c r="G315" s="413" t="s">
        <v>50</v>
      </c>
      <c r="H315" s="652" t="s">
        <v>117</v>
      </c>
      <c r="I315" s="745"/>
      <c r="J315" s="407"/>
      <c r="K315" s="411"/>
      <c r="L315" s="411"/>
      <c r="M315" s="411"/>
      <c r="N315" s="205"/>
      <c r="O315" s="653" t="s">
        <v>164</v>
      </c>
      <c r="P315" s="205"/>
      <c r="Q315" s="374">
        <v>0.5</v>
      </c>
      <c r="R315" s="205"/>
      <c r="S315" s="410">
        <f>(1+Sensitivity_BE_Order)*Training_Duration*$Q315</f>
        <v>1</v>
      </c>
      <c r="T315" s="410">
        <f>(1+Sensitivity_BE_Order)*Training_Duration*$Q315</f>
        <v>1</v>
      </c>
      <c r="U315" s="410">
        <f>(1+Sensitivity_BE_Order)*Training_Duration*$Q315</f>
        <v>1</v>
      </c>
      <c r="V315" s="410">
        <f>(1+Sensitivity_BE_Order)*Training_Duration*$Q315</f>
        <v>1</v>
      </c>
      <c r="W315" s="410">
        <f>(1+Sensitivity_BE_Order)*0</f>
        <v>0</v>
      </c>
      <c r="X315" s="410">
        <v>0</v>
      </c>
      <c r="Y315" s="410">
        <f>(1+Sensitivity_BE_Order)*0</f>
        <v>0</v>
      </c>
      <c r="Z315" s="410">
        <f>(1+Sensitivity_BE_Order)*0</f>
        <v>0</v>
      </c>
      <c r="AA315" s="410">
        <f>(1+Sensitivity_BE_Order)*0</f>
        <v>0</v>
      </c>
      <c r="AB315" s="93"/>
      <c r="AC315" s="653" t="s">
        <v>164</v>
      </c>
      <c r="AD315" s="411"/>
      <c r="AE315" s="374">
        <v>0.5</v>
      </c>
      <c r="AF315" s="630"/>
      <c r="AG315" s="410">
        <f>(1+Sensitivity_BE_Order)*Training_Duration*$AE315</f>
        <v>1</v>
      </c>
      <c r="AH315" s="410">
        <f>(1+Sensitivity_BE_Order)*Training_Duration*$AE315</f>
        <v>1</v>
      </c>
      <c r="AI315" s="410">
        <f>(1+Sensitivity_BE_Order)*Training_Duration*$AE315</f>
        <v>1</v>
      </c>
      <c r="AJ315" s="410">
        <f>(1+Sensitivity_BE_Order)*Training_Duration*$AE315</f>
        <v>1</v>
      </c>
      <c r="AK315" s="410">
        <f>(1+Sensitivity_BE_Order)*0</f>
        <v>0</v>
      </c>
      <c r="AL315" s="410">
        <v>0</v>
      </c>
      <c r="AM315" s="410">
        <f>(1+Sensitivity_BE_Order)*Training_Duration*$AE315</f>
        <v>1</v>
      </c>
      <c r="AN315" s="410">
        <f>(1+Sensitivity_BE_Order)*Training_Duration*$AE315</f>
        <v>1</v>
      </c>
      <c r="AO315" s="410">
        <f>(1+Sensitivity_BE_Order)*0</f>
        <v>0</v>
      </c>
      <c r="AP315" s="264"/>
      <c r="AQ315" s="264"/>
      <c r="AR315" s="653" t="s">
        <v>164</v>
      </c>
      <c r="AS315" s="411"/>
      <c r="AT315" s="374">
        <v>0.5</v>
      </c>
      <c r="AU315" s="205"/>
      <c r="AV315" s="410">
        <f>(1+Sensitivity_BE_Order)*Training_Duration*$Q315</f>
        <v>1</v>
      </c>
      <c r="AW315" s="410">
        <f>(1+Sensitivity_BE_Order)*Training_Duration*$Q315</f>
        <v>1</v>
      </c>
      <c r="AX315" s="410">
        <f>(1+Sensitivity_BE_Order)*Training_Duration*$Q315</f>
        <v>1</v>
      </c>
      <c r="AY315" s="410">
        <f>(1+Sensitivity_BE_Order)*Training_Duration*$Q315</f>
        <v>1</v>
      </c>
      <c r="AZ315" s="410">
        <f>(1+Sensitivity_BE_Order)*0</f>
        <v>0</v>
      </c>
      <c r="BA315" s="410">
        <v>0</v>
      </c>
      <c r="BB315" s="410">
        <f>(1+Sensitivity_BE_Order)*0</f>
        <v>0</v>
      </c>
      <c r="BC315" s="410">
        <f>(1+Sensitivity_BE_Order)*0</f>
        <v>0</v>
      </c>
      <c r="BD315" s="410">
        <f>(1+Sensitivity_BE_Order)*0</f>
        <v>0</v>
      </c>
      <c r="BE315" s="264"/>
      <c r="BF315" s="653" t="s">
        <v>164</v>
      </c>
      <c r="BG315" s="411"/>
      <c r="BH315" s="374">
        <v>0.5</v>
      </c>
      <c r="BI315" s="630"/>
      <c r="BJ315" s="410">
        <f>(1+Sensitivity_BE_Order)*Training_Duration*$AE315</f>
        <v>1</v>
      </c>
      <c r="BK315" s="410">
        <f>(1+Sensitivity_BE_Order)*Training_Duration*$AE315</f>
        <v>1</v>
      </c>
      <c r="BL315" s="410">
        <f>(1+Sensitivity_BE_Order)*Training_Duration*$AE315</f>
        <v>1</v>
      </c>
      <c r="BM315" s="410">
        <f>(1+Sensitivity_BE_Order)*Training_Duration*$AE315</f>
        <v>1</v>
      </c>
      <c r="BN315" s="410">
        <f>(1+Sensitivity_BE_Order)*0</f>
        <v>0</v>
      </c>
      <c r="BO315" s="410">
        <v>0</v>
      </c>
      <c r="BP315" s="410">
        <f>(1+Sensitivity_BE_Order)*Training_Duration*$AE315</f>
        <v>1</v>
      </c>
      <c r="BQ315" s="410">
        <f>(1+Sensitivity_BE_Order)*Training_Duration*$AE315</f>
        <v>1</v>
      </c>
      <c r="BR315" s="410">
        <f>(1+Sensitivity_BE_Order)*0</f>
        <v>0</v>
      </c>
      <c r="BS315" s="263"/>
      <c r="BT315" s="267"/>
      <c r="BU315" s="267"/>
      <c r="BV315" s="267"/>
      <c r="BW315" s="267"/>
      <c r="BX315" s="267"/>
      <c r="BY315" s="267"/>
      <c r="BZ315" s="267"/>
      <c r="CA315" s="267"/>
      <c r="CB315" s="267"/>
    </row>
    <row r="316" spans="1:80" ht="24" customHeight="1" outlineLevel="1" x14ac:dyDescent="0.2">
      <c r="A316" s="400"/>
      <c r="B316" s="509" t="s">
        <v>113</v>
      </c>
      <c r="C316" s="510" t="s">
        <v>165</v>
      </c>
      <c r="D316" s="651" t="s">
        <v>109</v>
      </c>
      <c r="E316" s="413" t="s">
        <v>175</v>
      </c>
      <c r="F316" s="585" t="s">
        <v>48</v>
      </c>
      <c r="G316" s="413" t="s">
        <v>50</v>
      </c>
      <c r="H316" s="652" t="s">
        <v>116</v>
      </c>
      <c r="I316" s="746"/>
      <c r="J316" s="417"/>
      <c r="K316" s="411"/>
      <c r="L316" s="411"/>
      <c r="M316" s="411"/>
      <c r="N316" s="523"/>
      <c r="O316" s="551" t="s">
        <v>218</v>
      </c>
      <c r="P316" s="523"/>
      <c r="Q316" s="523"/>
      <c r="R316" s="523"/>
      <c r="S316" s="410">
        <v>0</v>
      </c>
      <c r="T316" s="410">
        <v>0</v>
      </c>
      <c r="U316" s="410">
        <v>0</v>
      </c>
      <c r="V316" s="410">
        <v>0</v>
      </c>
      <c r="W316" s="410">
        <v>0</v>
      </c>
      <c r="X316" s="410">
        <v>0</v>
      </c>
      <c r="Y316" s="410">
        <v>0</v>
      </c>
      <c r="Z316" s="410">
        <v>0</v>
      </c>
      <c r="AA316" s="410">
        <v>0</v>
      </c>
      <c r="AB316" s="93"/>
      <c r="AC316" s="551" t="s">
        <v>218</v>
      </c>
      <c r="AD316" s="411"/>
      <c r="AE316" s="523"/>
      <c r="AF316" s="628"/>
      <c r="AG316" s="410">
        <v>0</v>
      </c>
      <c r="AH316" s="410">
        <v>0</v>
      </c>
      <c r="AI316" s="410">
        <v>0</v>
      </c>
      <c r="AJ316" s="410">
        <v>0</v>
      </c>
      <c r="AK316" s="410">
        <v>0</v>
      </c>
      <c r="AL316" s="410">
        <v>0</v>
      </c>
      <c r="AM316" s="410">
        <v>0</v>
      </c>
      <c r="AN316" s="410">
        <v>0</v>
      </c>
      <c r="AO316" s="410">
        <v>0</v>
      </c>
      <c r="AP316" s="264"/>
      <c r="AQ316" s="264"/>
      <c r="AR316" s="551" t="s">
        <v>218</v>
      </c>
      <c r="AS316" s="411"/>
      <c r="AT316" s="523"/>
      <c r="AU316" s="523"/>
      <c r="AV316" s="410">
        <v>0</v>
      </c>
      <c r="AW316" s="410">
        <v>0</v>
      </c>
      <c r="AX316" s="410">
        <v>0</v>
      </c>
      <c r="AY316" s="410">
        <v>0</v>
      </c>
      <c r="AZ316" s="410">
        <v>0</v>
      </c>
      <c r="BA316" s="410">
        <v>0</v>
      </c>
      <c r="BB316" s="410">
        <v>0</v>
      </c>
      <c r="BC316" s="410">
        <v>0</v>
      </c>
      <c r="BD316" s="410">
        <v>0</v>
      </c>
      <c r="BE316" s="264"/>
      <c r="BF316" s="551" t="s">
        <v>218</v>
      </c>
      <c r="BG316" s="411"/>
      <c r="BH316" s="523"/>
      <c r="BI316" s="628"/>
      <c r="BJ316" s="410">
        <v>0</v>
      </c>
      <c r="BK316" s="410">
        <v>0</v>
      </c>
      <c r="BL316" s="410">
        <v>0</v>
      </c>
      <c r="BM316" s="410">
        <v>0</v>
      </c>
      <c r="BN316" s="410">
        <v>0</v>
      </c>
      <c r="BO316" s="410">
        <v>0</v>
      </c>
      <c r="BP316" s="410">
        <v>0</v>
      </c>
      <c r="BQ316" s="410">
        <v>0</v>
      </c>
      <c r="BR316" s="410">
        <v>0</v>
      </c>
      <c r="BS316" s="263"/>
      <c r="BT316" s="267"/>
      <c r="BU316" s="267"/>
      <c r="BV316" s="267"/>
      <c r="BW316" s="267"/>
      <c r="BX316" s="267"/>
      <c r="BY316" s="267"/>
      <c r="BZ316" s="267"/>
      <c r="CA316" s="267"/>
      <c r="CB316" s="267"/>
    </row>
    <row r="317" spans="1:80" ht="24" customHeight="1" outlineLevel="1" x14ac:dyDescent="0.2">
      <c r="A317" s="312"/>
      <c r="B317" s="546" t="s">
        <v>113</v>
      </c>
      <c r="C317" s="547" t="s">
        <v>165</v>
      </c>
      <c r="D317" s="432" t="s">
        <v>109</v>
      </c>
      <c r="E317" s="441" t="s">
        <v>150</v>
      </c>
      <c r="F317" s="432" t="s">
        <v>51</v>
      </c>
      <c r="G317" s="426" t="s">
        <v>50</v>
      </c>
      <c r="H317" s="517" t="s">
        <v>214</v>
      </c>
      <c r="I317" s="741" t="s">
        <v>238</v>
      </c>
      <c r="J317" s="424"/>
      <c r="K317" s="611"/>
      <c r="L317" s="611"/>
      <c r="M317" s="611"/>
      <c r="N317" s="523"/>
      <c r="O317" s="578"/>
      <c r="P317" s="523"/>
      <c r="Q317" s="374">
        <v>0.5</v>
      </c>
      <c r="R317" s="523"/>
      <c r="S317" s="410">
        <f>(1+Sensitivity_BE_Order)*(Standard_Process_Effort*(1+PM_Overhead)*$Q317)</f>
        <v>16.5</v>
      </c>
      <c r="T317" s="410">
        <f>(1+Sensitivity_BE_Order)*(Standard_Process_Effort*(1+PM_Overhead)*$Q317)</f>
        <v>16.5</v>
      </c>
      <c r="U317" s="410">
        <f>(1+Sensitivity_BE_Order)*(Standard_Process_Effort*(1+PM_Overhead)*$Q317)</f>
        <v>16.5</v>
      </c>
      <c r="V317" s="410">
        <f>(1+Sensitivity_BE_Order)*(Standard_Process_Effort*(1+PM_Overhead)*$Q317)</f>
        <v>16.5</v>
      </c>
      <c r="W317" s="410">
        <f>(1+Sensitivity_BE_Order)*0</f>
        <v>0</v>
      </c>
      <c r="X317" s="410">
        <f>(1+Sensitivity_BE_Order)*(Standard_Process_Effort*(1+PM_Overhead)*$Q317)</f>
        <v>16.5</v>
      </c>
      <c r="Y317" s="410">
        <f>(1+Sensitivity_BE_Order)*0</f>
        <v>0</v>
      </c>
      <c r="Z317" s="410">
        <f>(1+Sensitivity_BE_Order)*0</f>
        <v>0</v>
      </c>
      <c r="AA317" s="410">
        <f>(1+Sensitivity_BE_Order)*0</f>
        <v>0</v>
      </c>
      <c r="AB317" s="264"/>
      <c r="AC317" s="578" t="s">
        <v>225</v>
      </c>
      <c r="AD317" s="611"/>
      <c r="AE317" s="374">
        <v>0.5</v>
      </c>
      <c r="AF317" s="628"/>
      <c r="AG317" s="410">
        <f>(1+Sensitivity_BE_Order)*(Standard_Process_Effort*(1+PM_Overhead)*$AE317)</f>
        <v>16.5</v>
      </c>
      <c r="AH317" s="410">
        <f>(1+Sensitivity_BE_Order)*(Standard_Process_Effort*(1+PM_Overhead)*$AE317)</f>
        <v>16.5</v>
      </c>
      <c r="AI317" s="410">
        <f>(1+Sensitivity_BE_Order)*(Standard_Process_Effort*(1+PM_Overhead)*$AE317)</f>
        <v>16.5</v>
      </c>
      <c r="AJ317" s="410">
        <f>(1+Sensitivity_BE_Order)*(Standard_Process_Effort*(1+PM_Overhead)*$AE317)</f>
        <v>16.5</v>
      </c>
      <c r="AK317" s="410">
        <f>(1+Sensitivity_BE_Order)*0</f>
        <v>0</v>
      </c>
      <c r="AL317" s="410">
        <f>(1+Sensitivity_BE_Order)*0</f>
        <v>0</v>
      </c>
      <c r="AM317" s="410">
        <f>(1+Sensitivity_BE_Order)*(Standard_Process_Effort*(1+PM_Overhead)*$AE317)*TierC_TierB_ratio</f>
        <v>8.25</v>
      </c>
      <c r="AN317" s="410">
        <f>(1+Sensitivity_BE_Order)*0</f>
        <v>0</v>
      </c>
      <c r="AO317" s="410">
        <f>AM317</f>
        <v>8.25</v>
      </c>
      <c r="AP317" s="264"/>
      <c r="AQ317" s="264"/>
      <c r="AR317" s="578" t="s">
        <v>225</v>
      </c>
      <c r="AS317" s="611"/>
      <c r="AT317" s="374">
        <v>0.5</v>
      </c>
      <c r="AU317" s="523"/>
      <c r="AV317" s="410">
        <f>(1+Sensitivity_BE_Order)*(Standard_Process_Effort*(1+PM_Overhead)*$Q317)</f>
        <v>16.5</v>
      </c>
      <c r="AW317" s="410">
        <f>(1+Sensitivity_BE_Order)*(Standard_Process_Effort*(1+PM_Overhead)*$Q317)</f>
        <v>16.5</v>
      </c>
      <c r="AX317" s="410">
        <f>(1+Sensitivity_BE_Order)*(Standard_Process_Effort*(1+PM_Overhead)*$Q317)</f>
        <v>16.5</v>
      </c>
      <c r="AY317" s="410">
        <f>(1+Sensitivity_BE_Order)*(Standard_Process_Effort*(1+PM_Overhead)*$Q317)</f>
        <v>16.5</v>
      </c>
      <c r="AZ317" s="410">
        <f>(1+Sensitivity_BE_Order)*0</f>
        <v>0</v>
      </c>
      <c r="BA317" s="410">
        <f>(1+Sensitivity_BE_Order)*(Standard_Process_Effort*(1+PM_Overhead)*$Q317)</f>
        <v>16.5</v>
      </c>
      <c r="BB317" s="410">
        <f>(1+Sensitivity_BE_Order)*0</f>
        <v>0</v>
      </c>
      <c r="BC317" s="410">
        <f>(1+Sensitivity_BE_Order)*0</f>
        <v>0</v>
      </c>
      <c r="BD317" s="410">
        <f>(1+Sensitivity_BE_Order)*0</f>
        <v>0</v>
      </c>
      <c r="BE317" s="264"/>
      <c r="BF317" s="578" t="s">
        <v>225</v>
      </c>
      <c r="BG317" s="611"/>
      <c r="BH317" s="374">
        <v>0.5</v>
      </c>
      <c r="BI317" s="628"/>
      <c r="BJ317" s="410">
        <f>(1+Sensitivity_BE_Order)*(Standard_Process_Effort*(1+PM_Overhead)*$AE317)</f>
        <v>16.5</v>
      </c>
      <c r="BK317" s="410">
        <f>(1+Sensitivity_BE_Order)*(Standard_Process_Effort*(1+PM_Overhead)*$AE317)</f>
        <v>16.5</v>
      </c>
      <c r="BL317" s="410">
        <f>(1+Sensitivity_BE_Order)*(Standard_Process_Effort*(1+PM_Overhead)*$AE317)</f>
        <v>16.5</v>
      </c>
      <c r="BM317" s="410">
        <f>(1+Sensitivity_BE_Order)*(Standard_Process_Effort*(1+PM_Overhead)*$AE317)</f>
        <v>16.5</v>
      </c>
      <c r="BN317" s="410">
        <f>(1+Sensitivity_BE_Order)*0</f>
        <v>0</v>
      </c>
      <c r="BO317" s="410">
        <f>(1+Sensitivity_BE_Order)*0</f>
        <v>0</v>
      </c>
      <c r="BP317" s="410">
        <f>(1+Sensitivity_BE_Order)*(Standard_Process_Effort*(1+PM_Overhead)*$AE317)*TierC_TierB_ratio</f>
        <v>8.25</v>
      </c>
      <c r="BQ317" s="410">
        <f>(1+Sensitivity_BE_Order)*0</f>
        <v>0</v>
      </c>
      <c r="BR317" s="410">
        <f>BP317</f>
        <v>8.25</v>
      </c>
      <c r="BS317" s="263"/>
      <c r="BT317" s="267"/>
      <c r="BU317" s="267"/>
      <c r="BV317" s="267"/>
      <c r="BW317" s="267"/>
      <c r="BX317" s="267"/>
      <c r="BY317" s="267"/>
      <c r="BZ317" s="267"/>
      <c r="CA317" s="267"/>
      <c r="CB317" s="267"/>
    </row>
    <row r="318" spans="1:80" ht="24" customHeight="1" outlineLevel="1" x14ac:dyDescent="0.2">
      <c r="A318" s="312"/>
      <c r="B318" s="546" t="s">
        <v>113</v>
      </c>
      <c r="C318" s="547" t="s">
        <v>165</v>
      </c>
      <c r="D318" s="432" t="s">
        <v>109</v>
      </c>
      <c r="E318" s="441" t="s">
        <v>150</v>
      </c>
      <c r="F318" s="432" t="s">
        <v>49</v>
      </c>
      <c r="G318" s="426" t="s">
        <v>47</v>
      </c>
      <c r="H318" s="517" t="s">
        <v>118</v>
      </c>
      <c r="I318" s="742"/>
      <c r="J318" s="424"/>
      <c r="K318" s="611"/>
      <c r="L318" s="611"/>
      <c r="M318" s="611"/>
      <c r="N318" s="523"/>
      <c r="O318" s="654"/>
      <c r="P318" s="523"/>
      <c r="Q318" s="523"/>
      <c r="R318" s="523"/>
      <c r="S318" s="374">
        <v>0.2</v>
      </c>
      <c r="T318" s="374">
        <v>0.2</v>
      </c>
      <c r="U318" s="374">
        <v>0.2</v>
      </c>
      <c r="V318" s="374">
        <v>0.2</v>
      </c>
      <c r="W318" s="374">
        <v>0.2</v>
      </c>
      <c r="X318" s="374">
        <v>0.2</v>
      </c>
      <c r="Y318" s="374">
        <v>0.2</v>
      </c>
      <c r="Z318" s="374">
        <v>0.2</v>
      </c>
      <c r="AA318" s="374">
        <v>0.2</v>
      </c>
      <c r="AB318" s="264"/>
      <c r="AC318" s="654"/>
      <c r="AD318" s="611"/>
      <c r="AE318" s="523"/>
      <c r="AF318" s="628"/>
      <c r="AG318" s="374">
        <v>0.2</v>
      </c>
      <c r="AH318" s="374">
        <v>0.2</v>
      </c>
      <c r="AI318" s="374">
        <v>0.2</v>
      </c>
      <c r="AJ318" s="374">
        <v>0.2</v>
      </c>
      <c r="AK318" s="374">
        <v>0.2</v>
      </c>
      <c r="AL318" s="374">
        <v>0.2</v>
      </c>
      <c r="AM318" s="374">
        <v>0.2</v>
      </c>
      <c r="AN318" s="374">
        <v>0.2</v>
      </c>
      <c r="AO318" s="374">
        <v>0.2</v>
      </c>
      <c r="AP318" s="264"/>
      <c r="AQ318" s="264"/>
      <c r="AR318" s="654"/>
      <c r="AS318" s="611"/>
      <c r="AT318" s="523"/>
      <c r="AU318" s="523"/>
      <c r="AV318" s="374">
        <v>0.2</v>
      </c>
      <c r="AW318" s="374">
        <v>0.2</v>
      </c>
      <c r="AX318" s="374">
        <v>0.2</v>
      </c>
      <c r="AY318" s="374">
        <v>0.2</v>
      </c>
      <c r="AZ318" s="374">
        <v>0.2</v>
      </c>
      <c r="BA318" s="374">
        <v>0.2</v>
      </c>
      <c r="BB318" s="374">
        <v>0.2</v>
      </c>
      <c r="BC318" s="374">
        <v>0.2</v>
      </c>
      <c r="BD318" s="374">
        <v>0.2</v>
      </c>
      <c r="BE318" s="264"/>
      <c r="BF318" s="654"/>
      <c r="BG318" s="611"/>
      <c r="BH318" s="523"/>
      <c r="BI318" s="628"/>
      <c r="BJ318" s="374">
        <v>0.2</v>
      </c>
      <c r="BK318" s="374">
        <v>0.2</v>
      </c>
      <c r="BL318" s="374">
        <v>0.2</v>
      </c>
      <c r="BM318" s="374">
        <v>0.2</v>
      </c>
      <c r="BN318" s="374">
        <v>0.2</v>
      </c>
      <c r="BO318" s="374">
        <v>0.2</v>
      </c>
      <c r="BP318" s="374">
        <v>0.2</v>
      </c>
      <c r="BQ318" s="374">
        <v>0.2</v>
      </c>
      <c r="BR318" s="374">
        <v>0.2</v>
      </c>
      <c r="BS318" s="263"/>
      <c r="BT318" s="267"/>
      <c r="BU318" s="267"/>
      <c r="BV318" s="267"/>
      <c r="BW318" s="267"/>
      <c r="BX318" s="267"/>
      <c r="BY318" s="267"/>
      <c r="BZ318" s="267"/>
      <c r="CA318" s="267"/>
      <c r="CB318" s="267"/>
    </row>
    <row r="319" spans="1:80" ht="24" customHeight="1" outlineLevel="1" x14ac:dyDescent="0.2">
      <c r="A319" s="312"/>
      <c r="B319" s="546" t="s">
        <v>113</v>
      </c>
      <c r="C319" s="547" t="s">
        <v>165</v>
      </c>
      <c r="D319" s="432" t="s">
        <v>109</v>
      </c>
      <c r="E319" s="441" t="s">
        <v>150</v>
      </c>
      <c r="F319" s="432" t="s">
        <v>51</v>
      </c>
      <c r="G319" s="426" t="s">
        <v>50</v>
      </c>
      <c r="H319" s="517" t="s">
        <v>117</v>
      </c>
      <c r="I319" s="742"/>
      <c r="J319" s="424"/>
      <c r="K319" s="611"/>
      <c r="L319" s="611"/>
      <c r="M319" s="611"/>
      <c r="N319" s="205"/>
      <c r="O319" s="655" t="s">
        <v>172</v>
      </c>
      <c r="P319" s="205"/>
      <c r="Q319" s="374">
        <v>0.5</v>
      </c>
      <c r="R319" s="205"/>
      <c r="S319" s="410">
        <f>(1+Sensitivity_BE_Order)*Training_Duration*$Q319</f>
        <v>1</v>
      </c>
      <c r="T319" s="410">
        <f>(1+Sensitivity_BE_Order)*Training_Duration*$Q319</f>
        <v>1</v>
      </c>
      <c r="U319" s="410">
        <f>(1+Sensitivity_BE_Order)*Training_Duration*$Q319</f>
        <v>1</v>
      </c>
      <c r="V319" s="410">
        <f>(1+Sensitivity_BE_Order)*Training_Duration*$Q319</f>
        <v>1</v>
      </c>
      <c r="W319" s="410">
        <f>(1+Sensitivity_BE_Order)*0</f>
        <v>0</v>
      </c>
      <c r="X319" s="410">
        <f>(1+Sensitivity_BE_Order)*Training_Duration*$Q319</f>
        <v>1</v>
      </c>
      <c r="Y319" s="410">
        <f>(1+Sensitivity_BE_Order)*0</f>
        <v>0</v>
      </c>
      <c r="Z319" s="410">
        <f>(1+Sensitivity_BE_Order)*0</f>
        <v>0</v>
      </c>
      <c r="AA319" s="410">
        <f>(1+Sensitivity_BE_Order)*0</f>
        <v>0</v>
      </c>
      <c r="AB319" s="264"/>
      <c r="AC319" s="655"/>
      <c r="AD319" s="611"/>
      <c r="AE319" s="374">
        <v>0.5</v>
      </c>
      <c r="AF319" s="630"/>
      <c r="AG319" s="410">
        <f>(1+Sensitivity_BE_Order)*Training_Duration*$AE319</f>
        <v>1</v>
      </c>
      <c r="AH319" s="410">
        <f>(1+Sensitivity_BE_Order)*Training_Duration*$AE319</f>
        <v>1</v>
      </c>
      <c r="AI319" s="410">
        <f>(1+Sensitivity_BE_Order)*Training_Duration*$AE319</f>
        <v>1</v>
      </c>
      <c r="AJ319" s="410">
        <f>(1+Sensitivity_BE_Order)*Training_Duration*$AE319</f>
        <v>1</v>
      </c>
      <c r="AK319" s="410">
        <f>(1+Sensitivity_BE_Order)*0</f>
        <v>0</v>
      </c>
      <c r="AL319" s="410">
        <v>0</v>
      </c>
      <c r="AM319" s="410">
        <f>(1+Sensitivity_BE_Order)*Training_Duration*$AE319</f>
        <v>1</v>
      </c>
      <c r="AN319" s="410">
        <f>(1+Sensitivity_BE_Order)*Training_Duration*$AE319</f>
        <v>1</v>
      </c>
      <c r="AO319" s="410">
        <f>(1+Sensitivity_BE_Order)*0</f>
        <v>0</v>
      </c>
      <c r="AP319" s="264"/>
      <c r="AQ319" s="264"/>
      <c r="AR319" s="655" t="s">
        <v>172</v>
      </c>
      <c r="AS319" s="611"/>
      <c r="AT319" s="374">
        <v>0.5</v>
      </c>
      <c r="AU319" s="205"/>
      <c r="AV319" s="410">
        <f>(1+Sensitivity_BE_Order)*Training_Duration*$Q319</f>
        <v>1</v>
      </c>
      <c r="AW319" s="410">
        <f>(1+Sensitivity_BE_Order)*Training_Duration*$Q319</f>
        <v>1</v>
      </c>
      <c r="AX319" s="410">
        <f>(1+Sensitivity_BE_Order)*Training_Duration*$Q319</f>
        <v>1</v>
      </c>
      <c r="AY319" s="410">
        <f>(1+Sensitivity_BE_Order)*Training_Duration*$Q319</f>
        <v>1</v>
      </c>
      <c r="AZ319" s="410">
        <f>(1+Sensitivity_BE_Order)*0</f>
        <v>0</v>
      </c>
      <c r="BA319" s="410">
        <f>(1+Sensitivity_BE_Order)*Training_Duration*$Q319</f>
        <v>1</v>
      </c>
      <c r="BB319" s="410">
        <f>(1+Sensitivity_BE_Order)*0</f>
        <v>0</v>
      </c>
      <c r="BC319" s="410">
        <f>(1+Sensitivity_BE_Order)*0</f>
        <v>0</v>
      </c>
      <c r="BD319" s="410">
        <f>(1+Sensitivity_BE_Order)*0</f>
        <v>0</v>
      </c>
      <c r="BE319" s="264"/>
      <c r="BF319" s="655"/>
      <c r="BG319" s="611"/>
      <c r="BH319" s="374">
        <v>0.5</v>
      </c>
      <c r="BI319" s="630"/>
      <c r="BJ319" s="410">
        <f>(1+Sensitivity_BE_Order)*Training_Duration*$AE319</f>
        <v>1</v>
      </c>
      <c r="BK319" s="410">
        <f>(1+Sensitivity_BE_Order)*Training_Duration*$AE319</f>
        <v>1</v>
      </c>
      <c r="BL319" s="410">
        <f>(1+Sensitivity_BE_Order)*Training_Duration*$AE319</f>
        <v>1</v>
      </c>
      <c r="BM319" s="410">
        <f>(1+Sensitivity_BE_Order)*Training_Duration*$AE319</f>
        <v>1</v>
      </c>
      <c r="BN319" s="410">
        <f>(1+Sensitivity_BE_Order)*0</f>
        <v>0</v>
      </c>
      <c r="BO319" s="410">
        <v>0</v>
      </c>
      <c r="BP319" s="410">
        <f>(1+Sensitivity_BE_Order)*Training_Duration*$AE319</f>
        <v>1</v>
      </c>
      <c r="BQ319" s="410">
        <f>(1+Sensitivity_BE_Order)*Training_Duration*$AE319</f>
        <v>1</v>
      </c>
      <c r="BR319" s="410">
        <f>(1+Sensitivity_BE_Order)*0</f>
        <v>0</v>
      </c>
      <c r="BS319" s="263"/>
      <c r="BT319" s="267"/>
      <c r="BU319" s="267"/>
      <c r="BV319" s="267"/>
      <c r="BW319" s="267"/>
      <c r="BX319" s="267"/>
      <c r="BY319" s="267"/>
      <c r="BZ319" s="267"/>
      <c r="CA319" s="267"/>
      <c r="CB319" s="267"/>
    </row>
    <row r="320" spans="1:80" ht="24" customHeight="1" outlineLevel="1" x14ac:dyDescent="0.2">
      <c r="A320" s="312"/>
      <c r="B320" s="546" t="s">
        <v>113</v>
      </c>
      <c r="C320" s="547" t="s">
        <v>165</v>
      </c>
      <c r="D320" s="432" t="s">
        <v>109</v>
      </c>
      <c r="E320" s="441" t="s">
        <v>150</v>
      </c>
      <c r="F320" s="432" t="s">
        <v>48</v>
      </c>
      <c r="G320" s="426" t="s">
        <v>50</v>
      </c>
      <c r="H320" s="517" t="s">
        <v>155</v>
      </c>
      <c r="I320" s="743"/>
      <c r="J320" s="424"/>
      <c r="K320" s="611"/>
      <c r="L320" s="611"/>
      <c r="M320" s="611"/>
      <c r="N320" s="523"/>
      <c r="O320" s="578" t="s">
        <v>218</v>
      </c>
      <c r="P320" s="523"/>
      <c r="Q320" s="523"/>
      <c r="R320" s="523"/>
      <c r="S320" s="410">
        <v>0</v>
      </c>
      <c r="T320" s="410">
        <v>0</v>
      </c>
      <c r="U320" s="410">
        <v>0</v>
      </c>
      <c r="V320" s="410">
        <v>0</v>
      </c>
      <c r="W320" s="410">
        <v>0</v>
      </c>
      <c r="X320" s="410">
        <v>0</v>
      </c>
      <c r="Y320" s="410">
        <v>0</v>
      </c>
      <c r="Z320" s="410">
        <v>0</v>
      </c>
      <c r="AA320" s="410">
        <v>0</v>
      </c>
      <c r="AB320" s="264"/>
      <c r="AC320" s="578" t="s">
        <v>218</v>
      </c>
      <c r="AD320" s="611"/>
      <c r="AE320" s="523"/>
      <c r="AF320" s="628"/>
      <c r="AG320" s="410">
        <v>0</v>
      </c>
      <c r="AH320" s="410">
        <v>0</v>
      </c>
      <c r="AI320" s="410">
        <v>0</v>
      </c>
      <c r="AJ320" s="410">
        <v>0</v>
      </c>
      <c r="AK320" s="410">
        <v>0</v>
      </c>
      <c r="AL320" s="410">
        <v>0</v>
      </c>
      <c r="AM320" s="410">
        <v>0</v>
      </c>
      <c r="AN320" s="410">
        <v>0</v>
      </c>
      <c r="AO320" s="410">
        <v>0</v>
      </c>
      <c r="AP320" s="264"/>
      <c r="AQ320" s="264"/>
      <c r="AR320" s="578" t="s">
        <v>218</v>
      </c>
      <c r="AS320" s="611"/>
      <c r="AT320" s="523"/>
      <c r="AU320" s="523"/>
      <c r="AV320" s="410">
        <v>0</v>
      </c>
      <c r="AW320" s="410">
        <v>0</v>
      </c>
      <c r="AX320" s="410">
        <v>0</v>
      </c>
      <c r="AY320" s="410">
        <v>0</v>
      </c>
      <c r="AZ320" s="410">
        <v>0</v>
      </c>
      <c r="BA320" s="410">
        <v>0</v>
      </c>
      <c r="BB320" s="410">
        <v>0</v>
      </c>
      <c r="BC320" s="410">
        <v>0</v>
      </c>
      <c r="BD320" s="410">
        <v>0</v>
      </c>
      <c r="BE320" s="264"/>
      <c r="BF320" s="578" t="s">
        <v>218</v>
      </c>
      <c r="BG320" s="611"/>
      <c r="BH320" s="523"/>
      <c r="BI320" s="628"/>
      <c r="BJ320" s="410">
        <v>0</v>
      </c>
      <c r="BK320" s="410">
        <v>0</v>
      </c>
      <c r="BL320" s="410">
        <v>0</v>
      </c>
      <c r="BM320" s="410">
        <v>0</v>
      </c>
      <c r="BN320" s="410">
        <v>0</v>
      </c>
      <c r="BO320" s="410">
        <v>0</v>
      </c>
      <c r="BP320" s="410">
        <v>0</v>
      </c>
      <c r="BQ320" s="410">
        <v>0</v>
      </c>
      <c r="BR320" s="410">
        <v>0</v>
      </c>
      <c r="BS320" s="263"/>
      <c r="BT320" s="267"/>
      <c r="BU320" s="267"/>
      <c r="BV320" s="267"/>
      <c r="BW320" s="267"/>
      <c r="BX320" s="267"/>
      <c r="BY320" s="267"/>
      <c r="BZ320" s="267"/>
      <c r="CA320" s="267"/>
      <c r="CB320" s="267"/>
    </row>
    <row r="321" spans="1:80" s="139" customFormat="1" ht="24" customHeight="1" outlineLevel="1" x14ac:dyDescent="0.2">
      <c r="A321" s="520"/>
      <c r="B321" s="521"/>
      <c r="C321" s="522"/>
      <c r="D321" s="523"/>
      <c r="E321" s="524"/>
      <c r="F321" s="523"/>
      <c r="G321" s="525"/>
      <c r="H321" s="484" t="s">
        <v>205</v>
      </c>
      <c r="I321" s="358"/>
      <c r="J321" s="424"/>
      <c r="K321" s="611"/>
      <c r="L321" s="611"/>
      <c r="M321" s="611"/>
      <c r="N321" s="523"/>
      <c r="O321" s="656"/>
      <c r="P321" s="523"/>
      <c r="Q321" s="642">
        <f>SUMIF($H$313:$H$320,$H$313,Q$313:Q$320)</f>
        <v>1</v>
      </c>
      <c r="R321" s="440"/>
      <c r="S321" s="526">
        <f>SUMIF($H$313:$H$320,$H$313,S$313:S$320)</f>
        <v>33</v>
      </c>
      <c r="T321" s="526">
        <f t="shared" ref="T321:AA321" si="311">SUMIF($H$313:$H$320,$H$313,T$313:T$320)</f>
        <v>33</v>
      </c>
      <c r="U321" s="526">
        <f t="shared" si="311"/>
        <v>33</v>
      </c>
      <c r="V321" s="526">
        <f t="shared" si="311"/>
        <v>33</v>
      </c>
      <c r="W321" s="526">
        <f t="shared" si="311"/>
        <v>0</v>
      </c>
      <c r="X321" s="526">
        <f t="shared" si="311"/>
        <v>16.5</v>
      </c>
      <c r="Y321" s="526">
        <f t="shared" si="311"/>
        <v>0</v>
      </c>
      <c r="Z321" s="526">
        <f t="shared" si="311"/>
        <v>0</v>
      </c>
      <c r="AA321" s="526">
        <f t="shared" si="311"/>
        <v>0</v>
      </c>
      <c r="AB321" s="265"/>
      <c r="AC321" s="656"/>
      <c r="AD321" s="611"/>
      <c r="AE321" s="642">
        <f>SUMIF($H$313:$H$320,$H$313,AE$313:AE$320)</f>
        <v>1</v>
      </c>
      <c r="AF321" s="440"/>
      <c r="AG321" s="526">
        <f>SUMIF($H$313:$H$320,$H$313,AG$313:AG$320)</f>
        <v>33</v>
      </c>
      <c r="AH321" s="526">
        <f t="shared" ref="AH321:AO321" si="312">SUMIF($H$313:$H$320,$H$313,AH$313:AH$320)</f>
        <v>33</v>
      </c>
      <c r="AI321" s="526">
        <f t="shared" si="312"/>
        <v>33</v>
      </c>
      <c r="AJ321" s="526">
        <f t="shared" si="312"/>
        <v>33</v>
      </c>
      <c r="AK321" s="526">
        <f t="shared" si="312"/>
        <v>0</v>
      </c>
      <c r="AL321" s="526">
        <f t="shared" si="312"/>
        <v>0</v>
      </c>
      <c r="AM321" s="526">
        <f t="shared" si="312"/>
        <v>16.5</v>
      </c>
      <c r="AN321" s="526">
        <f t="shared" si="312"/>
        <v>0</v>
      </c>
      <c r="AO321" s="526">
        <f t="shared" si="312"/>
        <v>16.5</v>
      </c>
      <c r="AP321" s="265"/>
      <c r="AQ321" s="265"/>
      <c r="AR321" s="656"/>
      <c r="AS321" s="611"/>
      <c r="AT321" s="642">
        <f>SUMIF($H$313:$H$320,$H$313,AT$313:AT$320)</f>
        <v>1</v>
      </c>
      <c r="AU321" s="440"/>
      <c r="AV321" s="526">
        <f>SUMIF($H$313:$H$320,$H$313,AV$313:AV$320)</f>
        <v>33</v>
      </c>
      <c r="AW321" s="526">
        <f t="shared" ref="AW321:BD321" si="313">SUMIF($H$313:$H$320,$H$313,AW$313:AW$320)</f>
        <v>33</v>
      </c>
      <c r="AX321" s="526">
        <f t="shared" si="313"/>
        <v>33</v>
      </c>
      <c r="AY321" s="526">
        <f t="shared" si="313"/>
        <v>33</v>
      </c>
      <c r="AZ321" s="526">
        <f t="shared" si="313"/>
        <v>0</v>
      </c>
      <c r="BA321" s="526">
        <f t="shared" si="313"/>
        <v>16.5</v>
      </c>
      <c r="BB321" s="526">
        <f t="shared" si="313"/>
        <v>0</v>
      </c>
      <c r="BC321" s="526">
        <f t="shared" si="313"/>
        <v>0</v>
      </c>
      <c r="BD321" s="526">
        <f t="shared" si="313"/>
        <v>0</v>
      </c>
      <c r="BE321" s="265"/>
      <c r="BF321" s="656"/>
      <c r="BG321" s="611"/>
      <c r="BH321" s="642">
        <f>SUMIF($H$313:$H$320,$H$313,BH$313:BH$320)</f>
        <v>1</v>
      </c>
      <c r="BI321" s="440"/>
      <c r="BJ321" s="526">
        <f>SUMIF($H$313:$H$320,$H$313,BJ$313:BJ$320)</f>
        <v>33</v>
      </c>
      <c r="BK321" s="526">
        <f t="shared" ref="BK321:BR321" si="314">SUMIF($H$313:$H$320,$H$313,BK$313:BK$320)</f>
        <v>33</v>
      </c>
      <c r="BL321" s="526">
        <f t="shared" si="314"/>
        <v>33</v>
      </c>
      <c r="BM321" s="526">
        <f t="shared" si="314"/>
        <v>33</v>
      </c>
      <c r="BN321" s="526">
        <f t="shared" si="314"/>
        <v>0</v>
      </c>
      <c r="BO321" s="526">
        <f t="shared" si="314"/>
        <v>0</v>
      </c>
      <c r="BP321" s="526">
        <f t="shared" si="314"/>
        <v>16.5</v>
      </c>
      <c r="BQ321" s="526">
        <f t="shared" si="314"/>
        <v>0</v>
      </c>
      <c r="BR321" s="526">
        <f t="shared" si="314"/>
        <v>16.5</v>
      </c>
      <c r="BS321" s="265"/>
      <c r="BT321" s="267"/>
      <c r="BU321" s="267"/>
      <c r="BV321" s="267"/>
      <c r="BW321" s="267"/>
      <c r="BX321" s="267"/>
      <c r="BY321" s="267"/>
      <c r="BZ321" s="267"/>
      <c r="CA321" s="267"/>
      <c r="CB321" s="267"/>
    </row>
    <row r="322" spans="1:80" s="139" customFormat="1" ht="24" customHeight="1" outlineLevel="1" x14ac:dyDescent="0.2">
      <c r="A322" s="520"/>
      <c r="B322" s="521"/>
      <c r="C322" s="522"/>
      <c r="D322" s="523"/>
      <c r="E322" s="524"/>
      <c r="F322" s="523"/>
      <c r="G322" s="525"/>
      <c r="H322" s="484" t="s">
        <v>216</v>
      </c>
      <c r="I322" s="358"/>
      <c r="J322" s="424"/>
      <c r="K322" s="611"/>
      <c r="L322" s="611"/>
      <c r="M322" s="611"/>
      <c r="N322" s="523"/>
      <c r="O322" s="656"/>
      <c r="P322" s="523"/>
      <c r="Q322" s="642">
        <f>SUMIF($H$313:$H$320,$H$315,Q$313:Q$320)</f>
        <v>1</v>
      </c>
      <c r="R322" s="440"/>
      <c r="S322" s="526">
        <f>SUMIF($H$313:$H$320,$H$315,S$313:S$320)</f>
        <v>2</v>
      </c>
      <c r="T322" s="526">
        <f t="shared" ref="T322:AA322" si="315">SUMIF($H$313:$H$320,$H$315,T$313:T$320)</f>
        <v>2</v>
      </c>
      <c r="U322" s="526">
        <f t="shared" si="315"/>
        <v>2</v>
      </c>
      <c r="V322" s="526">
        <f t="shared" si="315"/>
        <v>2</v>
      </c>
      <c r="W322" s="526">
        <f t="shared" si="315"/>
        <v>0</v>
      </c>
      <c r="X322" s="526">
        <f t="shared" si="315"/>
        <v>1</v>
      </c>
      <c r="Y322" s="526">
        <f t="shared" si="315"/>
        <v>0</v>
      </c>
      <c r="Z322" s="526">
        <f t="shared" si="315"/>
        <v>0</v>
      </c>
      <c r="AA322" s="526">
        <f t="shared" si="315"/>
        <v>0</v>
      </c>
      <c r="AB322" s="265"/>
      <c r="AC322" s="656"/>
      <c r="AD322" s="611"/>
      <c r="AE322" s="642">
        <f>SUMIF($H$313:$H$320,$H$315,AE$313:AE$320)</f>
        <v>1</v>
      </c>
      <c r="AF322" s="440"/>
      <c r="AG322" s="526">
        <f>SUMIF($H$313:$H$320,$H$315,AG$313:AG$320)</f>
        <v>2</v>
      </c>
      <c r="AH322" s="526">
        <f t="shared" ref="AH322:AO322" si="316">SUMIF($H$313:$H$320,$H$315,AH$313:AH$320)</f>
        <v>2</v>
      </c>
      <c r="AI322" s="526">
        <f t="shared" si="316"/>
        <v>2</v>
      </c>
      <c r="AJ322" s="526">
        <f t="shared" si="316"/>
        <v>2</v>
      </c>
      <c r="AK322" s="526">
        <f t="shared" si="316"/>
        <v>0</v>
      </c>
      <c r="AL322" s="526">
        <f t="shared" si="316"/>
        <v>0</v>
      </c>
      <c r="AM322" s="526">
        <f t="shared" si="316"/>
        <v>2</v>
      </c>
      <c r="AN322" s="526">
        <f t="shared" si="316"/>
        <v>2</v>
      </c>
      <c r="AO322" s="526">
        <f t="shared" si="316"/>
        <v>0</v>
      </c>
      <c r="AP322" s="265"/>
      <c r="AQ322" s="265"/>
      <c r="AR322" s="656"/>
      <c r="AS322" s="611"/>
      <c r="AT322" s="642">
        <f>SUMIF($H$313:$H$320,$H$315,AT$313:AT$320)</f>
        <v>1</v>
      </c>
      <c r="AU322" s="440"/>
      <c r="AV322" s="526">
        <f>SUMIF($H$313:$H$320,$H$315,AV$313:AV$320)</f>
        <v>2</v>
      </c>
      <c r="AW322" s="526">
        <f t="shared" ref="AW322:BD322" si="317">SUMIF($H$313:$H$320,$H$315,AW$313:AW$320)</f>
        <v>2</v>
      </c>
      <c r="AX322" s="526">
        <f t="shared" si="317"/>
        <v>2</v>
      </c>
      <c r="AY322" s="526">
        <f t="shared" si="317"/>
        <v>2</v>
      </c>
      <c r="AZ322" s="526">
        <f t="shared" si="317"/>
        <v>0</v>
      </c>
      <c r="BA322" s="526">
        <f t="shared" si="317"/>
        <v>1</v>
      </c>
      <c r="BB322" s="526">
        <f t="shared" si="317"/>
        <v>0</v>
      </c>
      <c r="BC322" s="526">
        <f t="shared" si="317"/>
        <v>0</v>
      </c>
      <c r="BD322" s="526">
        <f t="shared" si="317"/>
        <v>0</v>
      </c>
      <c r="BE322" s="265"/>
      <c r="BF322" s="656"/>
      <c r="BG322" s="611"/>
      <c r="BH322" s="642">
        <f>SUMIF($H$313:$H$320,$H$315,BH$313:BH$320)</f>
        <v>1</v>
      </c>
      <c r="BI322" s="440"/>
      <c r="BJ322" s="526">
        <f>SUMIF($H$313:$H$320,$H$315,BJ$313:BJ$320)</f>
        <v>2</v>
      </c>
      <c r="BK322" s="526">
        <f t="shared" ref="BK322:BR322" si="318">SUMIF($H$313:$H$320,$H$315,BK$313:BK$320)</f>
        <v>2</v>
      </c>
      <c r="BL322" s="526">
        <f t="shared" si="318"/>
        <v>2</v>
      </c>
      <c r="BM322" s="526">
        <f t="shared" si="318"/>
        <v>2</v>
      </c>
      <c r="BN322" s="526">
        <f t="shared" si="318"/>
        <v>0</v>
      </c>
      <c r="BO322" s="526">
        <f t="shared" si="318"/>
        <v>0</v>
      </c>
      <c r="BP322" s="526">
        <f t="shared" si="318"/>
        <v>2</v>
      </c>
      <c r="BQ322" s="526">
        <f t="shared" si="318"/>
        <v>2</v>
      </c>
      <c r="BR322" s="526">
        <f t="shared" si="318"/>
        <v>0</v>
      </c>
      <c r="BS322" s="265"/>
      <c r="BT322" s="267"/>
      <c r="BU322" s="267"/>
      <c r="BV322" s="267"/>
      <c r="BW322" s="267"/>
      <c r="BX322" s="267"/>
      <c r="BY322" s="267"/>
      <c r="BZ322" s="267"/>
      <c r="CA322" s="267"/>
      <c r="CB322" s="267"/>
    </row>
    <row r="323" spans="1:80" s="139" customFormat="1" ht="24" customHeight="1" outlineLevel="1" x14ac:dyDescent="0.2">
      <c r="A323" s="520"/>
      <c r="B323" s="521"/>
      <c r="C323" s="522"/>
      <c r="D323" s="523"/>
      <c r="E323" s="524"/>
      <c r="F323" s="523"/>
      <c r="G323" s="525"/>
      <c r="H323" s="523"/>
      <c r="I323" s="358"/>
      <c r="J323" s="424"/>
      <c r="K323" s="611"/>
      <c r="L323" s="611"/>
      <c r="M323" s="611"/>
      <c r="N323" s="523"/>
      <c r="O323" s="656"/>
      <c r="P323" s="523"/>
      <c r="Q323" s="523"/>
      <c r="R323" s="523"/>
      <c r="S323" s="527"/>
      <c r="T323" s="527"/>
      <c r="U323" s="527"/>
      <c r="V323" s="527"/>
      <c r="W323" s="527"/>
      <c r="X323" s="527"/>
      <c r="Y323" s="527"/>
      <c r="Z323" s="527"/>
      <c r="AA323" s="527"/>
      <c r="AB323" s="265"/>
      <c r="AC323" s="656"/>
      <c r="AD323" s="611"/>
      <c r="AE323" s="523"/>
      <c r="AF323" s="523"/>
      <c r="AG323" s="527"/>
      <c r="AH323" s="527"/>
      <c r="AI323" s="527"/>
      <c r="AJ323" s="527"/>
      <c r="AK323" s="527"/>
      <c r="AL323" s="527"/>
      <c r="AM323" s="527"/>
      <c r="AN323" s="527"/>
      <c r="AO323" s="527"/>
      <c r="AP323" s="265"/>
      <c r="AQ323" s="265"/>
      <c r="AR323" s="656"/>
      <c r="AS323" s="611"/>
      <c r="AT323" s="523"/>
      <c r="AU323" s="523"/>
      <c r="AV323" s="527"/>
      <c r="AW323" s="527"/>
      <c r="AX323" s="527"/>
      <c r="AY323" s="527"/>
      <c r="AZ323" s="527"/>
      <c r="BA323" s="527"/>
      <c r="BB323" s="527"/>
      <c r="BC323" s="527"/>
      <c r="BD323" s="527"/>
      <c r="BE323" s="265"/>
      <c r="BF323" s="656"/>
      <c r="BG323" s="611"/>
      <c r="BH323" s="523"/>
      <c r="BI323" s="523"/>
      <c r="BJ323" s="527"/>
      <c r="BK323" s="527"/>
      <c r="BL323" s="527"/>
      <c r="BM323" s="527"/>
      <c r="BN323" s="527"/>
      <c r="BO323" s="527"/>
      <c r="BP323" s="527"/>
      <c r="BQ323" s="527"/>
      <c r="BR323" s="527"/>
      <c r="BS323" s="265"/>
      <c r="BT323" s="267"/>
      <c r="BU323" s="267"/>
      <c r="BV323" s="267"/>
      <c r="BW323" s="267"/>
      <c r="BX323" s="267"/>
      <c r="BY323" s="267"/>
      <c r="BZ323" s="267"/>
      <c r="CA323" s="267"/>
      <c r="CB323" s="267"/>
    </row>
    <row r="324" spans="1:80" ht="24" customHeight="1" outlineLevel="1" x14ac:dyDescent="0.2">
      <c r="A324" s="312"/>
      <c r="B324" s="437" t="s">
        <v>113</v>
      </c>
      <c r="C324" s="171" t="s">
        <v>165</v>
      </c>
      <c r="D324" s="432" t="s">
        <v>111</v>
      </c>
      <c r="E324" s="426" t="s">
        <v>142</v>
      </c>
      <c r="F324" s="432" t="s">
        <v>61</v>
      </c>
      <c r="G324" s="432" t="s">
        <v>50</v>
      </c>
      <c r="H324" s="657" t="s">
        <v>152</v>
      </c>
      <c r="I324" s="754" t="s">
        <v>156</v>
      </c>
      <c r="J324" s="453"/>
      <c r="K324" s="467"/>
      <c r="L324" s="467"/>
      <c r="M324" s="467"/>
      <c r="N324" s="488"/>
      <c r="O324" s="421"/>
      <c r="P324" s="488"/>
      <c r="Q324" s="374">
        <v>0.25</v>
      </c>
      <c r="R324" s="488"/>
      <c r="S324" s="419">
        <f>(1+Sensitivity_BE_Order)*(EMP_Complex_Sys_Effort*(1+PM_Overhead)*$Q324)</f>
        <v>88</v>
      </c>
      <c r="T324" s="419">
        <f>(1+Sensitivity_BE_Order)*(EMP_Complex_Sys_Effort*(1+PM_Overhead)*$Q324)*(1+Additional_VM_Effort)</f>
        <v>132</v>
      </c>
      <c r="U324" s="419">
        <f>(1+Sensitivity_BE_Order)*(EMP_Complex_Sys_Effort*(1+PM_Overhead)*$Q324)</f>
        <v>88</v>
      </c>
      <c r="V324" s="419">
        <f>(1+Sensitivity_BE_Order)*(EMP_Complex_Sys_Effort*(1+PM_Overhead)*$Q324)</f>
        <v>88</v>
      </c>
      <c r="W324" s="419">
        <f>(1+Sensitivity_BE_Order)*0</f>
        <v>0</v>
      </c>
      <c r="X324" s="419">
        <f>(1+Sensitivity_BE_Order)*(EMP_Complex_Sys_Effort*(1+PM_Overhead)*$Q324)</f>
        <v>88</v>
      </c>
      <c r="Y324" s="419">
        <f t="shared" ref="Y324:AA325" si="319">(1+Sensitivity_BE_Order)*0</f>
        <v>0</v>
      </c>
      <c r="Z324" s="419">
        <f t="shared" si="319"/>
        <v>0</v>
      </c>
      <c r="AA324" s="419">
        <f t="shared" si="319"/>
        <v>0</v>
      </c>
      <c r="AB324" s="264"/>
      <c r="AC324" s="421"/>
      <c r="AD324" s="467"/>
      <c r="AE324" s="374">
        <v>0.25</v>
      </c>
      <c r="AF324" s="487"/>
      <c r="AG324" s="410">
        <f>(1+Sensitivity_BE_Order)*(DCC_Complex_Sys_Effort*(1+PM_Overhead)*$AE324)</f>
        <v>105.87500000000001</v>
      </c>
      <c r="AH324" s="410">
        <f>(1+Sensitivity_BE_Order)*(DCC_Complex_Sys_Effort*(1+PM_Overhead)*$AE324)</f>
        <v>105.87500000000001</v>
      </c>
      <c r="AI324" s="410">
        <f>(1+Sensitivity_BE_Order)*(DCC_Complex_Sys_Effort*(1+PM_Overhead)*$AE324)</f>
        <v>105.87500000000001</v>
      </c>
      <c r="AJ324" s="410">
        <f>(1+Sensitivity_BE_Order)*(DCC_Complex_Sys_Effort*(1+PM_Overhead)*$AE324)</f>
        <v>105.87500000000001</v>
      </c>
      <c r="AK324" s="410">
        <f>(1+Sensitivity_BE_Order)*0</f>
        <v>0</v>
      </c>
      <c r="AL324" s="410">
        <f>(1+Sensitivity_BE_Order)*0</f>
        <v>0</v>
      </c>
      <c r="AM324" s="410">
        <f>(1+Sensitivity_BE_Order)*(DCC_Complex_Sys_Effort*(1+PM_Overhead)*$AE324)*TierC_TierB_ratio</f>
        <v>52.937500000000007</v>
      </c>
      <c r="AN324" s="410">
        <f>(1+Sensitivity_BE_Order)*0</f>
        <v>0</v>
      </c>
      <c r="AO324" s="410">
        <f>AM324</f>
        <v>52.937500000000007</v>
      </c>
      <c r="AP324" s="264"/>
      <c r="AQ324" s="264"/>
      <c r="AR324" s="421"/>
      <c r="AS324" s="467"/>
      <c r="AT324" s="374">
        <v>0.25</v>
      </c>
      <c r="AU324" s="488"/>
      <c r="AV324" s="419">
        <f>(1+Sensitivity_BE_Order)*(EMP_Complex_Sys_Effort*(1+PM_Overhead)*$Q324)</f>
        <v>88</v>
      </c>
      <c r="AW324" s="419">
        <f>(1+Sensitivity_BE_Order)*(EMP_Complex_Sys_Effort*(1+PM_Overhead)*$Q324)*(1+Additional_VM_Effort)</f>
        <v>132</v>
      </c>
      <c r="AX324" s="419">
        <f>(1+Sensitivity_BE_Order)*(EMP_Complex_Sys_Effort*(1+PM_Overhead)*$Q324)</f>
        <v>88</v>
      </c>
      <c r="AY324" s="419">
        <f>(1+Sensitivity_BE_Order)*(EMP_Complex_Sys_Effort*(1+PM_Overhead)*$Q324)</f>
        <v>88</v>
      </c>
      <c r="AZ324" s="419">
        <f>(1+Sensitivity_BE_Order)*0</f>
        <v>0</v>
      </c>
      <c r="BA324" s="419">
        <f>(1+Sensitivity_BE_Order)*(EMP_Complex_Sys_Effort*(1+PM_Overhead)*$Q324)</f>
        <v>88</v>
      </c>
      <c r="BB324" s="419">
        <f t="shared" ref="BB324:BD325" si="320">(1+Sensitivity_BE_Order)*0</f>
        <v>0</v>
      </c>
      <c r="BC324" s="419">
        <f t="shared" si="320"/>
        <v>0</v>
      </c>
      <c r="BD324" s="419">
        <f t="shared" si="320"/>
        <v>0</v>
      </c>
      <c r="BE324" s="264"/>
      <c r="BF324" s="421"/>
      <c r="BG324" s="467"/>
      <c r="BH324" s="374">
        <v>0.25</v>
      </c>
      <c r="BI324" s="487"/>
      <c r="BJ324" s="410">
        <f>(1+Sensitivity_BE_Order)*(DCC_Complex_Sys_Effort*(1+PM_Overhead)*$AE324)</f>
        <v>105.87500000000001</v>
      </c>
      <c r="BK324" s="410">
        <f>(1+Sensitivity_BE_Order)*(DCC_Complex_Sys_Effort*(1+PM_Overhead)*$AE324)</f>
        <v>105.87500000000001</v>
      </c>
      <c r="BL324" s="410">
        <f>(1+Sensitivity_BE_Order)*(DCC_Complex_Sys_Effort*(1+PM_Overhead)*$AE324)</f>
        <v>105.87500000000001</v>
      </c>
      <c r="BM324" s="410">
        <f>(1+Sensitivity_BE_Order)*(DCC_Complex_Sys_Effort*(1+PM_Overhead)*$AE324)</f>
        <v>105.87500000000001</v>
      </c>
      <c r="BN324" s="410">
        <f>(1+Sensitivity_BE_Order)*0</f>
        <v>0</v>
      </c>
      <c r="BO324" s="410">
        <f>(1+Sensitivity_BE_Order)*0</f>
        <v>0</v>
      </c>
      <c r="BP324" s="410">
        <f>(1+Sensitivity_BE_Order)*(DCC_Complex_Sys_Effort*(1+PM_Overhead)*$AE324)*TierC_TierB_ratio</f>
        <v>52.937500000000007</v>
      </c>
      <c r="BQ324" s="410">
        <f>(1+Sensitivity_BE_Order)*0</f>
        <v>0</v>
      </c>
      <c r="BR324" s="410">
        <f>BP324</f>
        <v>52.937500000000007</v>
      </c>
      <c r="BS324" s="263"/>
      <c r="BT324" s="267"/>
      <c r="BU324" s="267"/>
      <c r="BV324" s="267"/>
      <c r="BW324" s="267"/>
      <c r="BX324" s="267"/>
      <c r="BY324" s="267"/>
      <c r="BZ324" s="267"/>
      <c r="CA324" s="267"/>
      <c r="CB324" s="267"/>
    </row>
    <row r="325" spans="1:80" ht="24" customHeight="1" outlineLevel="1" x14ac:dyDescent="0.2">
      <c r="A325" s="312"/>
      <c r="B325" s="437" t="s">
        <v>113</v>
      </c>
      <c r="C325" s="171" t="s">
        <v>165</v>
      </c>
      <c r="D325" s="432" t="s">
        <v>111</v>
      </c>
      <c r="E325" s="426" t="s">
        <v>142</v>
      </c>
      <c r="F325" s="432" t="s">
        <v>30</v>
      </c>
      <c r="G325" s="473" t="s">
        <v>50</v>
      </c>
      <c r="H325" s="657" t="s">
        <v>119</v>
      </c>
      <c r="I325" s="754"/>
      <c r="J325" s="453"/>
      <c r="K325" s="467"/>
      <c r="L325" s="467"/>
      <c r="M325" s="467"/>
      <c r="N325" s="488"/>
      <c r="O325" s="421"/>
      <c r="P325" s="488"/>
      <c r="Q325" s="374">
        <v>0</v>
      </c>
      <c r="R325" s="488"/>
      <c r="S325" s="419">
        <f>(1+Sensitivity_BE_Order)*0</f>
        <v>0</v>
      </c>
      <c r="T325" s="419">
        <f>(1+Sensitivity_BE_Order)*0</f>
        <v>0</v>
      </c>
      <c r="U325" s="419">
        <f>(1+Sensitivity_BE_Order)*0</f>
        <v>0</v>
      </c>
      <c r="V325" s="419">
        <f>(1+Sensitivity_BE_Order)*0</f>
        <v>0</v>
      </c>
      <c r="W325" s="419">
        <f>(1+Sensitivity_BE_Order)*0</f>
        <v>0</v>
      </c>
      <c r="X325" s="419">
        <f>(1+Sensitivity_BE_Order)*0</f>
        <v>0</v>
      </c>
      <c r="Y325" s="419">
        <f t="shared" si="319"/>
        <v>0</v>
      </c>
      <c r="Z325" s="419">
        <f t="shared" si="319"/>
        <v>0</v>
      </c>
      <c r="AA325" s="419">
        <f t="shared" si="319"/>
        <v>0</v>
      </c>
      <c r="AB325" s="264"/>
      <c r="AC325" s="421" t="s">
        <v>233</v>
      </c>
      <c r="AD325" s="467"/>
      <c r="AE325" s="374">
        <v>0</v>
      </c>
      <c r="AF325" s="487"/>
      <c r="AG325" s="419">
        <f>(1+Sensitivity_BE_Order)*hw_interface_costs*$AE325</f>
        <v>0</v>
      </c>
      <c r="AH325" s="419">
        <f>(1+Sensitivity_BE_Order)*hw_interface_costs*$AE325</f>
        <v>0</v>
      </c>
      <c r="AI325" s="419">
        <f>(1+Sensitivity_BE_Order)*hw_interface_costs*$AE325</f>
        <v>0</v>
      </c>
      <c r="AJ325" s="419">
        <f>(1+Sensitivity_BE_Order)*hw_interface_costs*$AE325</f>
        <v>0</v>
      </c>
      <c r="AK325" s="419">
        <f>(1+Sensitivity_BE_Order)*0</f>
        <v>0</v>
      </c>
      <c r="AL325" s="419">
        <f>(1+Sensitivity_BE_Order)*0</f>
        <v>0</v>
      </c>
      <c r="AM325" s="419">
        <f>AJ325*TierC_TierB_ratio</f>
        <v>0</v>
      </c>
      <c r="AN325" s="419">
        <f>(1+Sensitivity_BE_Order)*0</f>
        <v>0</v>
      </c>
      <c r="AO325" s="419">
        <f>AM325</f>
        <v>0</v>
      </c>
      <c r="AP325" s="264"/>
      <c r="AQ325" s="264"/>
      <c r="AR325" s="421"/>
      <c r="AS325" s="467"/>
      <c r="AT325" s="488"/>
      <c r="AU325" s="488"/>
      <c r="AV325" s="419">
        <f>(1+Sensitivity_BE_Order)*0</f>
        <v>0</v>
      </c>
      <c r="AW325" s="419">
        <f>(1+Sensitivity_BE_Order)*0</f>
        <v>0</v>
      </c>
      <c r="AX325" s="419">
        <f>(1+Sensitivity_BE_Order)*0</f>
        <v>0</v>
      </c>
      <c r="AY325" s="419">
        <f>(1+Sensitivity_BE_Order)*0</f>
        <v>0</v>
      </c>
      <c r="AZ325" s="419">
        <f>(1+Sensitivity_BE_Order)*0</f>
        <v>0</v>
      </c>
      <c r="BA325" s="419">
        <f>(1+Sensitivity_BE_Order)*0</f>
        <v>0</v>
      </c>
      <c r="BB325" s="419">
        <f t="shared" si="320"/>
        <v>0</v>
      </c>
      <c r="BC325" s="419">
        <f t="shared" si="320"/>
        <v>0</v>
      </c>
      <c r="BD325" s="419">
        <f t="shared" si="320"/>
        <v>0</v>
      </c>
      <c r="BE325" s="264"/>
      <c r="BF325" s="421" t="s">
        <v>233</v>
      </c>
      <c r="BG325" s="467"/>
      <c r="BH325" s="374">
        <v>0</v>
      </c>
      <c r="BI325" s="487"/>
      <c r="BJ325" s="419">
        <f>(1+Sensitivity_BE_Order)*hw_interface_costs*$AE325</f>
        <v>0</v>
      </c>
      <c r="BK325" s="419">
        <f>(1+Sensitivity_BE_Order)*hw_interface_costs*$AE325</f>
        <v>0</v>
      </c>
      <c r="BL325" s="419">
        <f>(1+Sensitivity_BE_Order)*hw_interface_costs*$AE325</f>
        <v>0</v>
      </c>
      <c r="BM325" s="419">
        <f>(1+Sensitivity_BE_Order)*hw_interface_costs*$AE325</f>
        <v>0</v>
      </c>
      <c r="BN325" s="419">
        <f>(1+Sensitivity_BE_Order)*0</f>
        <v>0</v>
      </c>
      <c r="BO325" s="419">
        <f>(1+Sensitivity_BE_Order)*0</f>
        <v>0</v>
      </c>
      <c r="BP325" s="419">
        <f>BM325*TierC_TierB_ratio</f>
        <v>0</v>
      </c>
      <c r="BQ325" s="419">
        <f>(1+Sensitivity_BE_Order)*0</f>
        <v>0</v>
      </c>
      <c r="BR325" s="419">
        <f>BP325</f>
        <v>0</v>
      </c>
      <c r="BS325" s="263"/>
      <c r="BT325" s="267"/>
      <c r="BU325" s="267"/>
      <c r="BV325" s="267"/>
      <c r="BW325" s="267"/>
      <c r="BX325" s="267"/>
      <c r="BY325" s="267"/>
      <c r="BZ325" s="267"/>
      <c r="CA325" s="267"/>
      <c r="CB325" s="267"/>
    </row>
    <row r="326" spans="1:80" ht="24" customHeight="1" outlineLevel="1" x14ac:dyDescent="0.2">
      <c r="A326" s="312"/>
      <c r="B326" s="437" t="s">
        <v>113</v>
      </c>
      <c r="C326" s="171" t="s">
        <v>165</v>
      </c>
      <c r="D326" s="432" t="s">
        <v>111</v>
      </c>
      <c r="E326" s="426" t="s">
        <v>142</v>
      </c>
      <c r="F326" s="473" t="s">
        <v>49</v>
      </c>
      <c r="G326" s="473" t="s">
        <v>47</v>
      </c>
      <c r="H326" s="657" t="s">
        <v>120</v>
      </c>
      <c r="I326" s="754"/>
      <c r="J326" s="453"/>
      <c r="K326" s="467"/>
      <c r="L326" s="467"/>
      <c r="M326" s="467"/>
      <c r="N326" s="488"/>
      <c r="O326" s="421"/>
      <c r="P326" s="488"/>
      <c r="Q326" s="488"/>
      <c r="R326" s="488"/>
      <c r="S326" s="374">
        <v>0.2</v>
      </c>
      <c r="T326" s="374">
        <v>0.2</v>
      </c>
      <c r="U326" s="374">
        <v>0.2</v>
      </c>
      <c r="V326" s="374">
        <v>0.2</v>
      </c>
      <c r="W326" s="374">
        <v>0.2</v>
      </c>
      <c r="X326" s="374">
        <v>0.2</v>
      </c>
      <c r="Y326" s="374">
        <v>0.2</v>
      </c>
      <c r="Z326" s="374">
        <v>0.2</v>
      </c>
      <c r="AA326" s="374">
        <v>0.2</v>
      </c>
      <c r="AB326" s="264"/>
      <c r="AC326" s="421"/>
      <c r="AD326" s="467"/>
      <c r="AE326" s="488"/>
      <c r="AF326" s="487"/>
      <c r="AG326" s="374">
        <v>0.2</v>
      </c>
      <c r="AH326" s="374">
        <v>0.2</v>
      </c>
      <c r="AI326" s="374">
        <f t="shared" ref="AI326" si="321">AG326</f>
        <v>0.2</v>
      </c>
      <c r="AJ326" s="374">
        <v>0.2</v>
      </c>
      <c r="AK326" s="374">
        <v>0.2</v>
      </c>
      <c r="AL326" s="374">
        <v>0.2</v>
      </c>
      <c r="AM326" s="374">
        <v>0.2</v>
      </c>
      <c r="AN326" s="374">
        <v>0.2</v>
      </c>
      <c r="AO326" s="374">
        <v>0.2</v>
      </c>
      <c r="AP326" s="264"/>
      <c r="AQ326" s="264"/>
      <c r="AR326" s="421"/>
      <c r="AS326" s="467"/>
      <c r="AT326" s="488"/>
      <c r="AU326" s="488"/>
      <c r="AV326" s="374">
        <v>0.2</v>
      </c>
      <c r="AW326" s="374">
        <v>0.2</v>
      </c>
      <c r="AX326" s="374">
        <v>0.2</v>
      </c>
      <c r="AY326" s="374">
        <v>0.2</v>
      </c>
      <c r="AZ326" s="374">
        <v>0.2</v>
      </c>
      <c r="BA326" s="374">
        <v>0.2</v>
      </c>
      <c r="BB326" s="374">
        <v>0.2</v>
      </c>
      <c r="BC326" s="374">
        <v>0.2</v>
      </c>
      <c r="BD326" s="374">
        <v>0.2</v>
      </c>
      <c r="BE326" s="264"/>
      <c r="BF326" s="421"/>
      <c r="BG326" s="467"/>
      <c r="BH326" s="488"/>
      <c r="BI326" s="487"/>
      <c r="BJ326" s="374">
        <v>0.2</v>
      </c>
      <c r="BK326" s="374">
        <v>0.2</v>
      </c>
      <c r="BL326" s="374">
        <f t="shared" ref="BL326" si="322">BJ326</f>
        <v>0.2</v>
      </c>
      <c r="BM326" s="374">
        <v>0.2</v>
      </c>
      <c r="BN326" s="374">
        <v>0.2</v>
      </c>
      <c r="BO326" s="374">
        <v>0.2</v>
      </c>
      <c r="BP326" s="374">
        <v>0.2</v>
      </c>
      <c r="BQ326" s="374">
        <v>0.2</v>
      </c>
      <c r="BR326" s="374">
        <v>0.2</v>
      </c>
      <c r="BS326" s="263"/>
      <c r="BT326" s="267"/>
      <c r="BU326" s="267"/>
      <c r="BV326" s="267"/>
      <c r="BW326" s="267"/>
      <c r="BX326" s="267"/>
      <c r="BY326" s="267"/>
      <c r="BZ326" s="267"/>
      <c r="CA326" s="267"/>
      <c r="CB326" s="267"/>
    </row>
    <row r="327" spans="1:80" ht="24" customHeight="1" outlineLevel="1" x14ac:dyDescent="0.2">
      <c r="A327" s="312"/>
      <c r="B327" s="546" t="s">
        <v>113</v>
      </c>
      <c r="C327" s="547" t="s">
        <v>165</v>
      </c>
      <c r="D327" s="470" t="s">
        <v>111</v>
      </c>
      <c r="E327" s="456" t="s">
        <v>143</v>
      </c>
      <c r="F327" s="470" t="s">
        <v>61</v>
      </c>
      <c r="G327" s="470" t="s">
        <v>50</v>
      </c>
      <c r="H327" s="599" t="s">
        <v>152</v>
      </c>
      <c r="I327" s="755" t="s">
        <v>246</v>
      </c>
      <c r="J327" s="453"/>
      <c r="K327" s="467"/>
      <c r="L327" s="467"/>
      <c r="M327" s="467"/>
      <c r="N327" s="488"/>
      <c r="O327" s="529"/>
      <c r="P327" s="488"/>
      <c r="Q327" s="374">
        <v>0.25</v>
      </c>
      <c r="R327" s="488"/>
      <c r="S327" s="419">
        <f>(1+Sensitivity_BE_Order)*(EMP_Complex_Sys_Effort*(1+PM_Overhead)*$Q327)</f>
        <v>88</v>
      </c>
      <c r="T327" s="419">
        <f>(1+Sensitivity_BE_Order)*(EMP_Complex_Sys_Effort*(1+PM_Overhead)*$Q327)*(1+Additional_VM_Effort)</f>
        <v>132</v>
      </c>
      <c r="U327" s="419">
        <f>(1+Sensitivity_BE_Order)*(EMP_Complex_Sys_Effort*(1+PM_Overhead)*$Q327)</f>
        <v>88</v>
      </c>
      <c r="V327" s="419">
        <f>(1+Sensitivity_BE_Order)*(EMP_Complex_Sys_Effort*(1+PM_Overhead)*$Q327)</f>
        <v>88</v>
      </c>
      <c r="W327" s="419">
        <v>0</v>
      </c>
      <c r="X327" s="419">
        <f>(1+Sensitivity_BE_Order)*(EMP_Complex_Sys_Effort*(1+PM_Overhead)*$Q327)</f>
        <v>88</v>
      </c>
      <c r="Y327" s="419">
        <f>(1+Sensitivity_BE_Order)*(EMP_Complex_Sys_Effort*(1+PM_Overhead)*$Q327)*TierC_TierB_ratio</f>
        <v>44</v>
      </c>
      <c r="Z327" s="419">
        <f>(1+Sensitivity_BE_Order)*0</f>
        <v>0</v>
      </c>
      <c r="AA327" s="419">
        <f>Y327</f>
        <v>44</v>
      </c>
      <c r="AB327" s="264"/>
      <c r="AC327" s="529"/>
      <c r="AD327" s="467"/>
      <c r="AE327" s="374">
        <v>0.25</v>
      </c>
      <c r="AF327" s="487"/>
      <c r="AG327" s="410">
        <f>(1+Sensitivity_BE_Order)*(DCC_Complex_Sys_Effort*(1+PM_Overhead)*$AE327)</f>
        <v>105.87500000000001</v>
      </c>
      <c r="AH327" s="410">
        <f>(1+Sensitivity_BE_Order)*(DCC_Complex_Sys_Effort*(1+PM_Overhead)*$AE327)</f>
        <v>105.87500000000001</v>
      </c>
      <c r="AI327" s="410">
        <f>(1+Sensitivity_BE_Order)*(DCC_Complex_Sys_Effort*(1+PM_Overhead)*$AE327)</f>
        <v>105.87500000000001</v>
      </c>
      <c r="AJ327" s="410">
        <f>(1+Sensitivity_BE_Order)*(DCC_Complex_Sys_Effort*(1+PM_Overhead)*$AE327)</f>
        <v>105.87500000000001</v>
      </c>
      <c r="AK327" s="410">
        <f>(1+Sensitivity_BE_Order)*0</f>
        <v>0</v>
      </c>
      <c r="AL327" s="410">
        <f>(1+Sensitivity_BE_Order)*0</f>
        <v>0</v>
      </c>
      <c r="AM327" s="410">
        <f>(1+Sensitivity_BE_Order)*(DCC_Complex_Sys_Effort*(1+PM_Overhead)*$AE327)*TierC_TierB_ratio</f>
        <v>52.937500000000007</v>
      </c>
      <c r="AN327" s="410">
        <f>(1+Sensitivity_BE_Order)*0</f>
        <v>0</v>
      </c>
      <c r="AO327" s="410">
        <f>AM327</f>
        <v>52.937500000000007</v>
      </c>
      <c r="AP327" s="264"/>
      <c r="AQ327" s="264"/>
      <c r="AR327" s="529"/>
      <c r="AS327" s="467"/>
      <c r="AT327" s="374">
        <v>0.25</v>
      </c>
      <c r="AU327" s="488"/>
      <c r="AV327" s="419">
        <f>(1+Sensitivity_BE_Order)*(EMP_Complex_Sys_Effort*(1+PM_Overhead)*$Q327)</f>
        <v>88</v>
      </c>
      <c r="AW327" s="419">
        <f>(1+Sensitivity_BE_Order)*(EMP_Complex_Sys_Effort*(1+PM_Overhead)*$Q327)*(1+Additional_VM_Effort)</f>
        <v>132</v>
      </c>
      <c r="AX327" s="419">
        <f>(1+Sensitivity_BE_Order)*(EMP_Complex_Sys_Effort*(1+PM_Overhead)*$Q327)</f>
        <v>88</v>
      </c>
      <c r="AY327" s="419">
        <f>(1+Sensitivity_BE_Order)*(EMP_Complex_Sys_Effort*(1+PM_Overhead)*$Q327)</f>
        <v>88</v>
      </c>
      <c r="AZ327" s="419">
        <v>0</v>
      </c>
      <c r="BA327" s="419">
        <f>(1+Sensitivity_BE_Order)*(EMP_Complex_Sys_Effort*(1+PM_Overhead)*$Q327)</f>
        <v>88</v>
      </c>
      <c r="BB327" s="419">
        <f>(1+Sensitivity_BE_Order)*(EMP_Complex_Sys_Effort*(1+PM_Overhead)*$Q327)*TierC_TierB_ratio</f>
        <v>44</v>
      </c>
      <c r="BC327" s="419">
        <f>(1+Sensitivity_BE_Order)*0</f>
        <v>0</v>
      </c>
      <c r="BD327" s="419">
        <f>BB327</f>
        <v>44</v>
      </c>
      <c r="BE327" s="264"/>
      <c r="BF327" s="529"/>
      <c r="BG327" s="467"/>
      <c r="BH327" s="374">
        <v>0.25</v>
      </c>
      <c r="BI327" s="487"/>
      <c r="BJ327" s="410">
        <f>(1+Sensitivity_BE_Order)*(DCC_Complex_Sys_Effort*(1+PM_Overhead)*$AE327)</f>
        <v>105.87500000000001</v>
      </c>
      <c r="BK327" s="410">
        <f>(1+Sensitivity_BE_Order)*(DCC_Complex_Sys_Effort*(1+PM_Overhead)*$AE327)</f>
        <v>105.87500000000001</v>
      </c>
      <c r="BL327" s="410">
        <f>(1+Sensitivity_BE_Order)*(DCC_Complex_Sys_Effort*(1+PM_Overhead)*$AE327)</f>
        <v>105.87500000000001</v>
      </c>
      <c r="BM327" s="410">
        <f>(1+Sensitivity_BE_Order)*(DCC_Complex_Sys_Effort*(1+PM_Overhead)*$AE327)</f>
        <v>105.87500000000001</v>
      </c>
      <c r="BN327" s="410">
        <f>(1+Sensitivity_BE_Order)*0</f>
        <v>0</v>
      </c>
      <c r="BO327" s="410">
        <f>(1+Sensitivity_BE_Order)*0</f>
        <v>0</v>
      </c>
      <c r="BP327" s="410">
        <f>(1+Sensitivity_BE_Order)*(DCC_Complex_Sys_Effort*(1+PM_Overhead)*$AE327)*TierC_TierB_ratio</f>
        <v>52.937500000000007</v>
      </c>
      <c r="BQ327" s="410">
        <f>(1+Sensitivity_BE_Order)*0</f>
        <v>0</v>
      </c>
      <c r="BR327" s="410">
        <f>BP327</f>
        <v>52.937500000000007</v>
      </c>
      <c r="BS327" s="263"/>
      <c r="BT327" s="267"/>
      <c r="BU327" s="267"/>
      <c r="BV327" s="267"/>
      <c r="BW327" s="267"/>
      <c r="BX327" s="267"/>
      <c r="BY327" s="267"/>
      <c r="BZ327" s="267"/>
      <c r="CA327" s="267"/>
      <c r="CB327" s="267"/>
    </row>
    <row r="328" spans="1:80" ht="24" customHeight="1" outlineLevel="1" x14ac:dyDescent="0.2">
      <c r="A328" s="312"/>
      <c r="B328" s="546" t="s">
        <v>113</v>
      </c>
      <c r="C328" s="547" t="s">
        <v>165</v>
      </c>
      <c r="D328" s="470" t="s">
        <v>111</v>
      </c>
      <c r="E328" s="456" t="s">
        <v>143</v>
      </c>
      <c r="F328" s="470" t="s">
        <v>30</v>
      </c>
      <c r="G328" s="458" t="s">
        <v>50</v>
      </c>
      <c r="H328" s="599" t="s">
        <v>119</v>
      </c>
      <c r="I328" s="755"/>
      <c r="J328" s="453"/>
      <c r="K328" s="467"/>
      <c r="L328" s="467"/>
      <c r="M328" s="467"/>
      <c r="N328" s="488"/>
      <c r="O328" s="529" t="s">
        <v>520</v>
      </c>
      <c r="P328" s="488"/>
      <c r="Q328" s="374">
        <v>0</v>
      </c>
      <c r="R328" s="488"/>
      <c r="S328" s="419">
        <f t="shared" ref="S328:Y328" si="323">(1+Sensitivity_BE_Order)*0</f>
        <v>0</v>
      </c>
      <c r="T328" s="419">
        <f t="shared" si="323"/>
        <v>0</v>
      </c>
      <c r="U328" s="419">
        <f t="shared" si="323"/>
        <v>0</v>
      </c>
      <c r="V328" s="419">
        <f t="shared" si="323"/>
        <v>0</v>
      </c>
      <c r="W328" s="419">
        <f t="shared" si="323"/>
        <v>0</v>
      </c>
      <c r="X328" s="419">
        <f t="shared" si="323"/>
        <v>0</v>
      </c>
      <c r="Y328" s="419">
        <f t="shared" si="323"/>
        <v>0</v>
      </c>
      <c r="Z328" s="419">
        <f>(1+Sensitivity_BE_Order)*0</f>
        <v>0</v>
      </c>
      <c r="AA328" s="419">
        <f>(1+Sensitivity_BE_Order)*0</f>
        <v>0</v>
      </c>
      <c r="AB328" s="264"/>
      <c r="AC328" s="529" t="s">
        <v>233</v>
      </c>
      <c r="AD328" s="467"/>
      <c r="AE328" s="374">
        <v>0</v>
      </c>
      <c r="AF328" s="487"/>
      <c r="AG328" s="419">
        <f>(1+Sensitivity_BE_Order)*hw_interface_costs*$AE328</f>
        <v>0</v>
      </c>
      <c r="AH328" s="419">
        <f>(1+Sensitivity_BE_Order)*hw_interface_costs*$AE328</f>
        <v>0</v>
      </c>
      <c r="AI328" s="419">
        <f>(1+Sensitivity_BE_Order)*hw_interface_costs*$AE328</f>
        <v>0</v>
      </c>
      <c r="AJ328" s="419">
        <f>(1+Sensitivity_BE_Order)*hw_interface_costs*$AE328</f>
        <v>0</v>
      </c>
      <c r="AK328" s="419">
        <f>(1+Sensitivity_BE_Order)*0</f>
        <v>0</v>
      </c>
      <c r="AL328" s="419">
        <f>(1+Sensitivity_BE_Order)*0</f>
        <v>0</v>
      </c>
      <c r="AM328" s="419">
        <f>AJ328*TierC_TierB_ratio</f>
        <v>0</v>
      </c>
      <c r="AN328" s="419">
        <f>(1+Sensitivity_BE_Order)*0</f>
        <v>0</v>
      </c>
      <c r="AO328" s="419">
        <f>AM328</f>
        <v>0</v>
      </c>
      <c r="AP328" s="264"/>
      <c r="AQ328" s="264"/>
      <c r="AR328" s="529" t="s">
        <v>520</v>
      </c>
      <c r="AS328" s="467"/>
      <c r="AT328" s="488"/>
      <c r="AU328" s="488"/>
      <c r="AV328" s="419">
        <f t="shared" ref="AV328:BB328" si="324">(1+Sensitivity_BE_Order)*0</f>
        <v>0</v>
      </c>
      <c r="AW328" s="419">
        <f t="shared" si="324"/>
        <v>0</v>
      </c>
      <c r="AX328" s="419">
        <f t="shared" si="324"/>
        <v>0</v>
      </c>
      <c r="AY328" s="419">
        <f t="shared" si="324"/>
        <v>0</v>
      </c>
      <c r="AZ328" s="419">
        <f t="shared" si="324"/>
        <v>0</v>
      </c>
      <c r="BA328" s="419">
        <f t="shared" si="324"/>
        <v>0</v>
      </c>
      <c r="BB328" s="419">
        <f t="shared" si="324"/>
        <v>0</v>
      </c>
      <c r="BC328" s="419">
        <f>(1+Sensitivity_BE_Order)*0</f>
        <v>0</v>
      </c>
      <c r="BD328" s="419">
        <f>(1+Sensitivity_BE_Order)*0</f>
        <v>0</v>
      </c>
      <c r="BE328" s="264"/>
      <c r="BF328" s="529" t="s">
        <v>233</v>
      </c>
      <c r="BG328" s="467"/>
      <c r="BH328" s="374">
        <v>0</v>
      </c>
      <c r="BI328" s="487"/>
      <c r="BJ328" s="419">
        <f>(1+Sensitivity_BE_Order)*hw_interface_costs*$AE328</f>
        <v>0</v>
      </c>
      <c r="BK328" s="419">
        <f>(1+Sensitivity_BE_Order)*hw_interface_costs*$AE328</f>
        <v>0</v>
      </c>
      <c r="BL328" s="419">
        <f>(1+Sensitivity_BE_Order)*hw_interface_costs*$AE328</f>
        <v>0</v>
      </c>
      <c r="BM328" s="419">
        <f>(1+Sensitivity_BE_Order)*hw_interface_costs*$AE328</f>
        <v>0</v>
      </c>
      <c r="BN328" s="419">
        <f>(1+Sensitivity_BE_Order)*0</f>
        <v>0</v>
      </c>
      <c r="BO328" s="419">
        <f>(1+Sensitivity_BE_Order)*0</f>
        <v>0</v>
      </c>
      <c r="BP328" s="419">
        <f>BM328*TierC_TierB_ratio</f>
        <v>0</v>
      </c>
      <c r="BQ328" s="419">
        <f>(1+Sensitivity_BE_Order)*0</f>
        <v>0</v>
      </c>
      <c r="BR328" s="419">
        <f>BP328</f>
        <v>0</v>
      </c>
      <c r="BS328" s="263"/>
      <c r="BT328" s="267"/>
      <c r="BU328" s="267"/>
      <c r="BV328" s="267"/>
      <c r="BW328" s="267"/>
      <c r="BX328" s="267"/>
      <c r="BY328" s="267"/>
      <c r="BZ328" s="267"/>
      <c r="CA328" s="267"/>
      <c r="CB328" s="267"/>
    </row>
    <row r="329" spans="1:80" ht="24" customHeight="1" outlineLevel="1" x14ac:dyDescent="0.2">
      <c r="A329" s="312"/>
      <c r="B329" s="546" t="s">
        <v>113</v>
      </c>
      <c r="C329" s="547" t="s">
        <v>165</v>
      </c>
      <c r="D329" s="470" t="s">
        <v>111</v>
      </c>
      <c r="E329" s="456" t="s">
        <v>143</v>
      </c>
      <c r="F329" s="458" t="s">
        <v>49</v>
      </c>
      <c r="G329" s="458" t="s">
        <v>47</v>
      </c>
      <c r="H329" s="599" t="s">
        <v>120</v>
      </c>
      <c r="I329" s="755"/>
      <c r="J329" s="453"/>
      <c r="K329" s="467"/>
      <c r="L329" s="467"/>
      <c r="M329" s="467"/>
      <c r="N329" s="488"/>
      <c r="O329" s="529"/>
      <c r="P329" s="488"/>
      <c r="Q329" s="488"/>
      <c r="R329" s="488"/>
      <c r="S329" s="374">
        <v>0.2</v>
      </c>
      <c r="T329" s="374">
        <v>0.2</v>
      </c>
      <c r="U329" s="374">
        <v>0.2</v>
      </c>
      <c r="V329" s="374">
        <v>0.2</v>
      </c>
      <c r="W329" s="374">
        <v>0.2</v>
      </c>
      <c r="X329" s="374">
        <v>0.2</v>
      </c>
      <c r="Y329" s="374">
        <v>0.2</v>
      </c>
      <c r="Z329" s="374">
        <v>0.2</v>
      </c>
      <c r="AA329" s="374">
        <v>0.2</v>
      </c>
      <c r="AB329" s="264"/>
      <c r="AC329" s="529"/>
      <c r="AD329" s="467"/>
      <c r="AE329" s="488"/>
      <c r="AF329" s="487"/>
      <c r="AG329" s="374">
        <v>0.2</v>
      </c>
      <c r="AH329" s="374">
        <v>0.2</v>
      </c>
      <c r="AI329" s="374">
        <f t="shared" ref="AI329" si="325">AG329</f>
        <v>0.2</v>
      </c>
      <c r="AJ329" s="374">
        <v>0.2</v>
      </c>
      <c r="AK329" s="374">
        <v>0.2</v>
      </c>
      <c r="AL329" s="374">
        <v>0.2</v>
      </c>
      <c r="AM329" s="374">
        <v>0.2</v>
      </c>
      <c r="AN329" s="374">
        <v>0.2</v>
      </c>
      <c r="AO329" s="374">
        <v>0.2</v>
      </c>
      <c r="AP329" s="264"/>
      <c r="AQ329" s="264"/>
      <c r="AR329" s="529"/>
      <c r="AS329" s="467"/>
      <c r="AT329" s="488"/>
      <c r="AU329" s="488"/>
      <c r="AV329" s="374">
        <v>0.2</v>
      </c>
      <c r="AW329" s="374">
        <v>0.2</v>
      </c>
      <c r="AX329" s="374">
        <v>0.2</v>
      </c>
      <c r="AY329" s="374">
        <v>0.2</v>
      </c>
      <c r="AZ329" s="374">
        <v>0.2</v>
      </c>
      <c r="BA329" s="374">
        <v>0.2</v>
      </c>
      <c r="BB329" s="374">
        <v>0.2</v>
      </c>
      <c r="BC329" s="374">
        <v>0.2</v>
      </c>
      <c r="BD329" s="374">
        <v>0.2</v>
      </c>
      <c r="BE329" s="264"/>
      <c r="BF329" s="529"/>
      <c r="BG329" s="467"/>
      <c r="BH329" s="488"/>
      <c r="BI329" s="487"/>
      <c r="BJ329" s="374">
        <v>0.2</v>
      </c>
      <c r="BK329" s="374">
        <v>0.2</v>
      </c>
      <c r="BL329" s="374">
        <f t="shared" ref="BL329" si="326">BJ329</f>
        <v>0.2</v>
      </c>
      <c r="BM329" s="374">
        <v>0.2</v>
      </c>
      <c r="BN329" s="374">
        <v>0.2</v>
      </c>
      <c r="BO329" s="374">
        <v>0.2</v>
      </c>
      <c r="BP329" s="374">
        <v>0.2</v>
      </c>
      <c r="BQ329" s="374">
        <v>0.2</v>
      </c>
      <c r="BR329" s="374">
        <v>0.2</v>
      </c>
      <c r="BS329" s="263"/>
      <c r="BT329" s="267"/>
      <c r="BU329" s="267"/>
      <c r="BV329" s="267"/>
      <c r="BW329" s="267"/>
      <c r="BX329" s="267"/>
      <c r="BY329" s="267"/>
      <c r="BZ329" s="267"/>
      <c r="CA329" s="267"/>
      <c r="CB329" s="267"/>
    </row>
    <row r="330" spans="1:80" ht="24" customHeight="1" outlineLevel="1" x14ac:dyDescent="0.2">
      <c r="A330" s="312"/>
      <c r="B330" s="437" t="s">
        <v>113</v>
      </c>
      <c r="C330" s="171" t="s">
        <v>165</v>
      </c>
      <c r="D330" s="432" t="s">
        <v>111</v>
      </c>
      <c r="E330" s="426" t="s">
        <v>144</v>
      </c>
      <c r="F330" s="432" t="s">
        <v>61</v>
      </c>
      <c r="G330" s="432" t="s">
        <v>50</v>
      </c>
      <c r="H330" s="657" t="s">
        <v>152</v>
      </c>
      <c r="I330" s="756" t="s">
        <v>247</v>
      </c>
      <c r="J330" s="453"/>
      <c r="K330" s="467"/>
      <c r="L330" s="467"/>
      <c r="M330" s="467"/>
      <c r="N330" s="488"/>
      <c r="O330" s="421"/>
      <c r="P330" s="488"/>
      <c r="Q330" s="374">
        <v>0.25</v>
      </c>
      <c r="R330" s="488"/>
      <c r="S330" s="419">
        <f>(1+Sensitivity_BE_Order)*(EMP_Complex_Sys_Effort*(1+PM_Overhead)*$Q330)</f>
        <v>88</v>
      </c>
      <c r="T330" s="419">
        <f>(1+Sensitivity_BE_Order)*(EMP_Complex_Sys_Effort*(1+PM_Overhead)*$Q330)*(1+Additional_VM_Effort)</f>
        <v>132</v>
      </c>
      <c r="U330" s="419">
        <f>(1+Sensitivity_BE_Order)*(EMP_Complex_Sys_Effort*(1+PM_Overhead)*$Q330)</f>
        <v>88</v>
      </c>
      <c r="V330" s="419">
        <f>(1+Sensitivity_BE_Order)*(EMP_Complex_Sys_Effort*(1+PM_Overhead)*$Q330)</f>
        <v>88</v>
      </c>
      <c r="W330" s="419">
        <f>(1+Sensitivity_BE_Order)*(EMP_Complex_Sys_Effort_OR*(1+PM_Overhead)*$Q330*2)</f>
        <v>242.00000000000003</v>
      </c>
      <c r="X330" s="419">
        <f>(1+Sensitivity_BE_Order)*(EMP_Complex_Sys_Effort*(1+PM_Overhead)*$Q330)</f>
        <v>88</v>
      </c>
      <c r="Y330" s="419">
        <f>(1+Sensitivity_BE_Order)*(EMP_Complex_Sys_Effort*(1+PM_Overhead)*$Q330)*TierC_TierB_ratio</f>
        <v>44</v>
      </c>
      <c r="Z330" s="419">
        <f>(1+Sensitivity_BE_Order)*0</f>
        <v>0</v>
      </c>
      <c r="AA330" s="419">
        <f>Y330</f>
        <v>44</v>
      </c>
      <c r="AB330" s="264"/>
      <c r="AC330" s="421"/>
      <c r="AD330" s="467"/>
      <c r="AE330" s="374">
        <v>0.25</v>
      </c>
      <c r="AF330" s="487"/>
      <c r="AG330" s="410">
        <f>(1+Sensitivity_BE_Order)*(DCC_Complex_Sys_Effort*(1+PM_Overhead)*$AE330)</f>
        <v>105.87500000000001</v>
      </c>
      <c r="AH330" s="410">
        <f>(1+Sensitivity_BE_Order)*(DCC_Complex_Sys_Effort*(1+PM_Overhead)*$AE330)</f>
        <v>105.87500000000001</v>
      </c>
      <c r="AI330" s="410">
        <f>(1+Sensitivity_BE_Order)*(DCC_Complex_Sys_Effort*(1+PM_Overhead)*$AE330)</f>
        <v>105.87500000000001</v>
      </c>
      <c r="AJ330" s="410">
        <f>(1+Sensitivity_BE_Order)*(DCC_Complex_Sys_Effort*(1+PM_Overhead)*$AE330)</f>
        <v>105.87500000000001</v>
      </c>
      <c r="AK330" s="410">
        <f>(1+Sensitivity_BE_Order)*0</f>
        <v>0</v>
      </c>
      <c r="AL330" s="410">
        <f>(1+Sensitivity_BE_Order)*0</f>
        <v>0</v>
      </c>
      <c r="AM330" s="410">
        <f>(1+Sensitivity_BE_Order)*(DCC_Complex_Sys_Effort*(1+PM_Overhead)*$AE330)*TierC_TierB_ratio</f>
        <v>52.937500000000007</v>
      </c>
      <c r="AN330" s="410">
        <f>(1+Sensitivity_BE_Order)*0</f>
        <v>0</v>
      </c>
      <c r="AO330" s="410">
        <f>AM330</f>
        <v>52.937500000000007</v>
      </c>
      <c r="AP330" s="264"/>
      <c r="AQ330" s="264"/>
      <c r="AR330" s="421"/>
      <c r="AS330" s="467"/>
      <c r="AT330" s="374">
        <v>0.25</v>
      </c>
      <c r="AU330" s="488"/>
      <c r="AV330" s="419">
        <f>(1+Sensitivity_BE_Order)*(EMP_Complex_Sys_Effort*(1+PM_Overhead)*$Q330)</f>
        <v>88</v>
      </c>
      <c r="AW330" s="419">
        <f>(1+Sensitivity_BE_Order)*(EMP_Complex_Sys_Effort*(1+PM_Overhead)*$Q330)*(1+Additional_VM_Effort)</f>
        <v>132</v>
      </c>
      <c r="AX330" s="419">
        <f>(1+Sensitivity_BE_Order)*(EMP_Complex_Sys_Effort*(1+PM_Overhead)*$Q330)</f>
        <v>88</v>
      </c>
      <c r="AY330" s="419">
        <f>(1+Sensitivity_BE_Order)*(EMP_Complex_Sys_Effort*(1+PM_Overhead)*$Q330)</f>
        <v>88</v>
      </c>
      <c r="AZ330" s="419">
        <f>(1+Sensitivity_BE_Order)*(EMP_Complex_Sys_Effort_OR*(1+PM_Overhead)*$Q330*2)</f>
        <v>242.00000000000003</v>
      </c>
      <c r="BA330" s="419">
        <f>(1+Sensitivity_BE_Order)*(EMP_Complex_Sys_Effort*(1+PM_Overhead)*$Q330)</f>
        <v>88</v>
      </c>
      <c r="BB330" s="419">
        <f>(1+Sensitivity_BE_Order)*(EMP_Complex_Sys_Effort*(1+PM_Overhead)*$Q330)*TierC_TierB_ratio</f>
        <v>44</v>
      </c>
      <c r="BC330" s="419">
        <f>(1+Sensitivity_BE_Order)*0</f>
        <v>0</v>
      </c>
      <c r="BD330" s="419">
        <f>BB330</f>
        <v>44</v>
      </c>
      <c r="BE330" s="264"/>
      <c r="BF330" s="421"/>
      <c r="BG330" s="467"/>
      <c r="BH330" s="374">
        <v>0.25</v>
      </c>
      <c r="BI330" s="487"/>
      <c r="BJ330" s="410">
        <f>(1+Sensitivity_BE_Order)*(DCC_Complex_Sys_Effort*(1+PM_Overhead)*$AE330)</f>
        <v>105.87500000000001</v>
      </c>
      <c r="BK330" s="410">
        <f>(1+Sensitivity_BE_Order)*(DCC_Complex_Sys_Effort*(1+PM_Overhead)*$AE330)</f>
        <v>105.87500000000001</v>
      </c>
      <c r="BL330" s="410">
        <f>(1+Sensitivity_BE_Order)*(DCC_Complex_Sys_Effort*(1+PM_Overhead)*$AE330)</f>
        <v>105.87500000000001</v>
      </c>
      <c r="BM330" s="410">
        <f>(1+Sensitivity_BE_Order)*(DCC_Complex_Sys_Effort*(1+PM_Overhead)*$AE330)</f>
        <v>105.87500000000001</v>
      </c>
      <c r="BN330" s="410">
        <f>(1+Sensitivity_BE_Order)*0</f>
        <v>0</v>
      </c>
      <c r="BO330" s="410">
        <f>(1+Sensitivity_BE_Order)*0</f>
        <v>0</v>
      </c>
      <c r="BP330" s="410">
        <f>(1+Sensitivity_BE_Order)*(DCC_Complex_Sys_Effort*(1+PM_Overhead)*$AE330)*TierC_TierB_ratio</f>
        <v>52.937500000000007</v>
      </c>
      <c r="BQ330" s="410">
        <f>(1+Sensitivity_BE_Order)*0</f>
        <v>0</v>
      </c>
      <c r="BR330" s="410">
        <f>BP330</f>
        <v>52.937500000000007</v>
      </c>
      <c r="BS330" s="263"/>
      <c r="BT330" s="267"/>
      <c r="BU330" s="267"/>
      <c r="BV330" s="267"/>
      <c r="BW330" s="267"/>
      <c r="BX330" s="267"/>
      <c r="BY330" s="267"/>
      <c r="BZ330" s="267"/>
      <c r="CA330" s="267"/>
      <c r="CB330" s="267"/>
    </row>
    <row r="331" spans="1:80" ht="24" customHeight="1" outlineLevel="1" x14ac:dyDescent="0.2">
      <c r="A331" s="312"/>
      <c r="B331" s="437" t="s">
        <v>113</v>
      </c>
      <c r="C331" s="171" t="s">
        <v>165</v>
      </c>
      <c r="D331" s="432" t="s">
        <v>111</v>
      </c>
      <c r="E331" s="426" t="s">
        <v>144</v>
      </c>
      <c r="F331" s="432" t="s">
        <v>30</v>
      </c>
      <c r="G331" s="473" t="s">
        <v>50</v>
      </c>
      <c r="H331" s="657" t="s">
        <v>119</v>
      </c>
      <c r="I331" s="756"/>
      <c r="J331" s="453"/>
      <c r="K331" s="467"/>
      <c r="L331" s="467"/>
      <c r="M331" s="467"/>
      <c r="N331" s="488"/>
      <c r="O331" s="421"/>
      <c r="P331" s="488"/>
      <c r="Q331" s="374">
        <v>0</v>
      </c>
      <c r="R331" s="488"/>
      <c r="S331" s="419">
        <f t="shared" ref="S331:Y331" si="327">(1+Sensitivity_BE_Order)*0</f>
        <v>0</v>
      </c>
      <c r="T331" s="419">
        <f t="shared" si="327"/>
        <v>0</v>
      </c>
      <c r="U331" s="419">
        <f t="shared" si="327"/>
        <v>0</v>
      </c>
      <c r="V331" s="419">
        <f t="shared" si="327"/>
        <v>0</v>
      </c>
      <c r="W331" s="419">
        <f t="shared" si="327"/>
        <v>0</v>
      </c>
      <c r="X331" s="419">
        <f t="shared" si="327"/>
        <v>0</v>
      </c>
      <c r="Y331" s="419">
        <f t="shared" si="327"/>
        <v>0</v>
      </c>
      <c r="Z331" s="419">
        <f>(1+Sensitivity_BE_Order)*0</f>
        <v>0</v>
      </c>
      <c r="AA331" s="419">
        <f>(1+Sensitivity_BE_Order)*0</f>
        <v>0</v>
      </c>
      <c r="AB331" s="264"/>
      <c r="AC331" s="421" t="s">
        <v>233</v>
      </c>
      <c r="AD331" s="467"/>
      <c r="AE331" s="374">
        <v>0</v>
      </c>
      <c r="AF331" s="487"/>
      <c r="AG331" s="419">
        <f>(1+Sensitivity_BE_Order)*hw_interface_costs*$AE331</f>
        <v>0</v>
      </c>
      <c r="AH331" s="419">
        <f>(1+Sensitivity_BE_Order)*hw_interface_costs*$AE331</f>
        <v>0</v>
      </c>
      <c r="AI331" s="419">
        <f>(1+Sensitivity_BE_Order)*hw_interface_costs*$AE331</f>
        <v>0</v>
      </c>
      <c r="AJ331" s="419">
        <f>(1+Sensitivity_BE_Order)*hw_interface_costs*$AE331</f>
        <v>0</v>
      </c>
      <c r="AK331" s="419">
        <f>(1+Sensitivity_BE_Order)*0</f>
        <v>0</v>
      </c>
      <c r="AL331" s="419">
        <f>(1+Sensitivity_BE_Order)*0</f>
        <v>0</v>
      </c>
      <c r="AM331" s="419">
        <f>AJ331*TierC_TierB_ratio</f>
        <v>0</v>
      </c>
      <c r="AN331" s="419">
        <f>(1+Sensitivity_BE_Order)*0</f>
        <v>0</v>
      </c>
      <c r="AO331" s="419">
        <f>AM331</f>
        <v>0</v>
      </c>
      <c r="AP331" s="264"/>
      <c r="AQ331" s="264"/>
      <c r="AR331" s="421"/>
      <c r="AS331" s="467"/>
      <c r="AT331" s="488"/>
      <c r="AU331" s="488"/>
      <c r="AV331" s="419">
        <f t="shared" ref="AV331:BB331" si="328">(1+Sensitivity_BE_Order)*0</f>
        <v>0</v>
      </c>
      <c r="AW331" s="419">
        <f t="shared" si="328"/>
        <v>0</v>
      </c>
      <c r="AX331" s="419">
        <f t="shared" si="328"/>
        <v>0</v>
      </c>
      <c r="AY331" s="419">
        <f t="shared" si="328"/>
        <v>0</v>
      </c>
      <c r="AZ331" s="419">
        <f t="shared" si="328"/>
        <v>0</v>
      </c>
      <c r="BA331" s="419">
        <f t="shared" si="328"/>
        <v>0</v>
      </c>
      <c r="BB331" s="419">
        <f t="shared" si="328"/>
        <v>0</v>
      </c>
      <c r="BC331" s="419">
        <f>(1+Sensitivity_BE_Order)*0</f>
        <v>0</v>
      </c>
      <c r="BD331" s="419">
        <f>(1+Sensitivity_BE_Order)*0</f>
        <v>0</v>
      </c>
      <c r="BE331" s="264"/>
      <c r="BF331" s="421" t="s">
        <v>233</v>
      </c>
      <c r="BG331" s="467"/>
      <c r="BH331" s="374">
        <v>0</v>
      </c>
      <c r="BI331" s="487"/>
      <c r="BJ331" s="419">
        <f>(1+Sensitivity_BE_Order)*hw_interface_costs*$AE331</f>
        <v>0</v>
      </c>
      <c r="BK331" s="419">
        <f>(1+Sensitivity_BE_Order)*hw_interface_costs*$AE331</f>
        <v>0</v>
      </c>
      <c r="BL331" s="419">
        <f>(1+Sensitivity_BE_Order)*hw_interface_costs*$AE331</f>
        <v>0</v>
      </c>
      <c r="BM331" s="419">
        <f>(1+Sensitivity_BE_Order)*hw_interface_costs*$AE331</f>
        <v>0</v>
      </c>
      <c r="BN331" s="419">
        <f>(1+Sensitivity_BE_Order)*0</f>
        <v>0</v>
      </c>
      <c r="BO331" s="419">
        <f>(1+Sensitivity_BE_Order)*0</f>
        <v>0</v>
      </c>
      <c r="BP331" s="419">
        <f>BM331*TierC_TierB_ratio</f>
        <v>0</v>
      </c>
      <c r="BQ331" s="419">
        <f>(1+Sensitivity_BE_Order)*0</f>
        <v>0</v>
      </c>
      <c r="BR331" s="419">
        <f>BP331</f>
        <v>0</v>
      </c>
      <c r="BS331" s="263"/>
      <c r="BT331" s="267"/>
      <c r="BU331" s="267"/>
      <c r="BV331" s="267"/>
      <c r="BW331" s="267"/>
      <c r="BX331" s="267"/>
      <c r="BY331" s="267"/>
      <c r="BZ331" s="267"/>
      <c r="CA331" s="267"/>
      <c r="CB331" s="267"/>
    </row>
    <row r="332" spans="1:80" ht="24" customHeight="1" outlineLevel="1" x14ac:dyDescent="0.2">
      <c r="A332" s="312"/>
      <c r="B332" s="437" t="s">
        <v>113</v>
      </c>
      <c r="C332" s="171" t="s">
        <v>165</v>
      </c>
      <c r="D332" s="432" t="s">
        <v>111</v>
      </c>
      <c r="E332" s="426" t="s">
        <v>144</v>
      </c>
      <c r="F332" s="473" t="s">
        <v>49</v>
      </c>
      <c r="G332" s="473" t="s">
        <v>47</v>
      </c>
      <c r="H332" s="657" t="s">
        <v>120</v>
      </c>
      <c r="I332" s="756"/>
      <c r="J332" s="453"/>
      <c r="K332" s="467"/>
      <c r="L332" s="467"/>
      <c r="M332" s="467"/>
      <c r="N332" s="488"/>
      <c r="O332" s="421"/>
      <c r="P332" s="488"/>
      <c r="Q332" s="488"/>
      <c r="R332" s="488"/>
      <c r="S332" s="374">
        <v>0.2</v>
      </c>
      <c r="T332" s="374">
        <v>0.2</v>
      </c>
      <c r="U332" s="374">
        <v>0.2</v>
      </c>
      <c r="V332" s="374">
        <v>0.2</v>
      </c>
      <c r="W332" s="374">
        <v>0.2</v>
      </c>
      <c r="X332" s="374">
        <v>0.2</v>
      </c>
      <c r="Y332" s="374">
        <v>0.2</v>
      </c>
      <c r="Z332" s="374">
        <v>0.2</v>
      </c>
      <c r="AA332" s="374">
        <v>0.2</v>
      </c>
      <c r="AB332" s="264"/>
      <c r="AC332" s="421"/>
      <c r="AD332" s="467"/>
      <c r="AE332" s="488"/>
      <c r="AF332" s="487"/>
      <c r="AG332" s="374">
        <v>0.2</v>
      </c>
      <c r="AH332" s="374">
        <v>0.2</v>
      </c>
      <c r="AI332" s="374">
        <f t="shared" ref="AI332" si="329">AG332</f>
        <v>0.2</v>
      </c>
      <c r="AJ332" s="374">
        <v>0.2</v>
      </c>
      <c r="AK332" s="374">
        <v>0.2</v>
      </c>
      <c r="AL332" s="374">
        <v>0.2</v>
      </c>
      <c r="AM332" s="374">
        <v>0.2</v>
      </c>
      <c r="AN332" s="374">
        <v>0.2</v>
      </c>
      <c r="AO332" s="374">
        <v>0.2</v>
      </c>
      <c r="AP332" s="264"/>
      <c r="AQ332" s="264"/>
      <c r="AR332" s="421"/>
      <c r="AS332" s="467"/>
      <c r="AT332" s="488"/>
      <c r="AU332" s="488"/>
      <c r="AV332" s="374">
        <v>0.2</v>
      </c>
      <c r="AW332" s="374">
        <v>0.2</v>
      </c>
      <c r="AX332" s="374">
        <v>0.2</v>
      </c>
      <c r="AY332" s="374">
        <v>0.2</v>
      </c>
      <c r="AZ332" s="374">
        <v>0.2</v>
      </c>
      <c r="BA332" s="374">
        <v>0.2</v>
      </c>
      <c r="BB332" s="374">
        <v>0.2</v>
      </c>
      <c r="BC332" s="374">
        <v>0.2</v>
      </c>
      <c r="BD332" s="374">
        <v>0.2</v>
      </c>
      <c r="BE332" s="264"/>
      <c r="BF332" s="421"/>
      <c r="BG332" s="467"/>
      <c r="BH332" s="488"/>
      <c r="BI332" s="487"/>
      <c r="BJ332" s="374">
        <v>0.2</v>
      </c>
      <c r="BK332" s="374">
        <v>0.2</v>
      </c>
      <c r="BL332" s="374">
        <f t="shared" ref="BL332" si="330">BJ332</f>
        <v>0.2</v>
      </c>
      <c r="BM332" s="374">
        <v>0.2</v>
      </c>
      <c r="BN332" s="374">
        <v>0.2</v>
      </c>
      <c r="BO332" s="374">
        <v>0.2</v>
      </c>
      <c r="BP332" s="374">
        <v>0.2</v>
      </c>
      <c r="BQ332" s="374">
        <v>0.2</v>
      </c>
      <c r="BR332" s="374">
        <v>0.2</v>
      </c>
      <c r="BS332" s="263"/>
      <c r="BT332" s="267"/>
      <c r="BU332" s="267"/>
      <c r="BV332" s="267"/>
      <c r="BW332" s="267"/>
      <c r="BX332" s="267"/>
      <c r="BY332" s="267"/>
      <c r="BZ332" s="267"/>
      <c r="CA332" s="267"/>
      <c r="CB332" s="267"/>
    </row>
    <row r="333" spans="1:80" ht="24" customHeight="1" outlineLevel="1" x14ac:dyDescent="0.2">
      <c r="A333" s="312"/>
      <c r="B333" s="546" t="s">
        <v>113</v>
      </c>
      <c r="C333" s="547" t="s">
        <v>165</v>
      </c>
      <c r="D333" s="470" t="s">
        <v>111</v>
      </c>
      <c r="E333" s="456" t="s">
        <v>157</v>
      </c>
      <c r="F333" s="470" t="s">
        <v>61</v>
      </c>
      <c r="G333" s="470" t="s">
        <v>50</v>
      </c>
      <c r="H333" s="599" t="s">
        <v>152</v>
      </c>
      <c r="I333" s="753" t="s">
        <v>248</v>
      </c>
      <c r="J333" s="453"/>
      <c r="K333" s="467"/>
      <c r="L333" s="467"/>
      <c r="M333" s="467"/>
      <c r="N333" s="488"/>
      <c r="O333" s="529"/>
      <c r="P333" s="488"/>
      <c r="Q333" s="374">
        <v>0.25</v>
      </c>
      <c r="R333" s="488"/>
      <c r="S333" s="419">
        <f>(1+Sensitivity_BE_Order)*(EMP_Complex_Sys_Effort*(1+PM_Overhead)*$Q333)</f>
        <v>88</v>
      </c>
      <c r="T333" s="419">
        <f>(1+Sensitivity_BE_Order)*(EMP_Complex_Sys_Effort*(1+PM_Overhead)*$Q333)*(1+Additional_VM_Effort)</f>
        <v>132</v>
      </c>
      <c r="U333" s="419">
        <f>(1+Sensitivity_BE_Order)*(EMP_Complex_Sys_Effort*(1+PM_Overhead)*$Q333)</f>
        <v>88</v>
      </c>
      <c r="V333" s="419">
        <f>(1+Sensitivity_BE_Order)*(EMP_Complex_Sys_Effort*(1+PM_Overhead)*$Q333)</f>
        <v>88</v>
      </c>
      <c r="W333" s="419">
        <f>(1+Sensitivity_BE_Order)*(EMP_Complex_Sys_Effort_OR*(1+PM_Overhead)*$Q333*2)</f>
        <v>242.00000000000003</v>
      </c>
      <c r="X333" s="419">
        <f>(1+Sensitivity_BE_Order)*(EMP_Complex_Sys_Effort*(1+PM_Overhead)*$Q333)</f>
        <v>88</v>
      </c>
      <c r="Y333" s="419">
        <f>(1+Sensitivity_BE_Order)*(EMP_Complex_Sys_Effort*(1+PM_Overhead)*$Q333)*TierC_TierB_ratio</f>
        <v>44</v>
      </c>
      <c r="Z333" s="419">
        <f>(1+Sensitivity_BE_Order)*0</f>
        <v>0</v>
      </c>
      <c r="AA333" s="419">
        <f>Y333</f>
        <v>44</v>
      </c>
      <c r="AB333" s="264"/>
      <c r="AC333" s="529"/>
      <c r="AD333" s="467"/>
      <c r="AE333" s="374">
        <v>0.25</v>
      </c>
      <c r="AF333" s="487"/>
      <c r="AG333" s="410">
        <f>(1+Sensitivity_BE_Order)*(DCC_Complex_Sys_Effort*(1+PM_Overhead)*$AE333)</f>
        <v>105.87500000000001</v>
      </c>
      <c r="AH333" s="410">
        <f>(1+Sensitivity_BE_Order)*(DCC_Complex_Sys_Effort*(1+PM_Overhead)*$AE333)</f>
        <v>105.87500000000001</v>
      </c>
      <c r="AI333" s="410">
        <f>(1+Sensitivity_BE_Order)*(DCC_Complex_Sys_Effort*(1+PM_Overhead)*$AE333)</f>
        <v>105.87500000000001</v>
      </c>
      <c r="AJ333" s="410">
        <f>(1+Sensitivity_BE_Order)*(DCC_Complex_Sys_Effort*(1+PM_Overhead)*$AE333)</f>
        <v>105.87500000000001</v>
      </c>
      <c r="AK333" s="410">
        <f>(1+Sensitivity_BE_Order)*0</f>
        <v>0</v>
      </c>
      <c r="AL333" s="410">
        <f>(1+Sensitivity_BE_Order)*0</f>
        <v>0</v>
      </c>
      <c r="AM333" s="410">
        <f>(1+Sensitivity_BE_Order)*(DCC_Complex_Sys_Effort*(1+PM_Overhead)*$AE333)*TierC_TierB_ratio</f>
        <v>52.937500000000007</v>
      </c>
      <c r="AN333" s="410">
        <f>(1+Sensitivity_BE_Order)*0</f>
        <v>0</v>
      </c>
      <c r="AO333" s="410">
        <f>AM333</f>
        <v>52.937500000000007</v>
      </c>
      <c r="AP333" s="264"/>
      <c r="AQ333" s="264"/>
      <c r="AR333" s="529"/>
      <c r="AS333" s="467"/>
      <c r="AT333" s="374">
        <v>0.25</v>
      </c>
      <c r="AU333" s="488"/>
      <c r="AV333" s="419">
        <f>(1+Sensitivity_BE_Order)*(EMP_Complex_Sys_Effort*(1+PM_Overhead)*$Q333)</f>
        <v>88</v>
      </c>
      <c r="AW333" s="419">
        <f>(1+Sensitivity_BE_Order)*(EMP_Complex_Sys_Effort*(1+PM_Overhead)*$Q333)*(1+Additional_VM_Effort)</f>
        <v>132</v>
      </c>
      <c r="AX333" s="419">
        <f>(1+Sensitivity_BE_Order)*(EMP_Complex_Sys_Effort*(1+PM_Overhead)*$Q333)</f>
        <v>88</v>
      </c>
      <c r="AY333" s="419">
        <f>(1+Sensitivity_BE_Order)*(EMP_Complex_Sys_Effort*(1+PM_Overhead)*$Q333)</f>
        <v>88</v>
      </c>
      <c r="AZ333" s="419">
        <f>(1+Sensitivity_BE_Order)*(EMP_Complex_Sys_Effort_OR*(1+PM_Overhead)*$Q333*2)</f>
        <v>242.00000000000003</v>
      </c>
      <c r="BA333" s="419">
        <f>(1+Sensitivity_BE_Order)*(EMP_Complex_Sys_Effort*(1+PM_Overhead)*$Q333)</f>
        <v>88</v>
      </c>
      <c r="BB333" s="419">
        <f>(1+Sensitivity_BE_Order)*(EMP_Complex_Sys_Effort*(1+PM_Overhead)*$Q333)*TierC_TierB_ratio</f>
        <v>44</v>
      </c>
      <c r="BC333" s="419">
        <f>(1+Sensitivity_BE_Order)*0</f>
        <v>0</v>
      </c>
      <c r="BD333" s="419">
        <f>BB333</f>
        <v>44</v>
      </c>
      <c r="BE333" s="264"/>
      <c r="BF333" s="529"/>
      <c r="BG333" s="467"/>
      <c r="BH333" s="374">
        <v>0.25</v>
      </c>
      <c r="BI333" s="487"/>
      <c r="BJ333" s="410">
        <f>(1+Sensitivity_BE_Order)*(DCC_Complex_Sys_Effort*(1+PM_Overhead)*$AE333)</f>
        <v>105.87500000000001</v>
      </c>
      <c r="BK333" s="410">
        <f>(1+Sensitivity_BE_Order)*(DCC_Complex_Sys_Effort*(1+PM_Overhead)*$AE333)</f>
        <v>105.87500000000001</v>
      </c>
      <c r="BL333" s="410">
        <f>(1+Sensitivity_BE_Order)*(DCC_Complex_Sys_Effort*(1+PM_Overhead)*$AE333)</f>
        <v>105.87500000000001</v>
      </c>
      <c r="BM333" s="410">
        <f>(1+Sensitivity_BE_Order)*(DCC_Complex_Sys_Effort*(1+PM_Overhead)*$AE333)</f>
        <v>105.87500000000001</v>
      </c>
      <c r="BN333" s="410">
        <f>(1+Sensitivity_BE_Order)*0</f>
        <v>0</v>
      </c>
      <c r="BO333" s="410">
        <f>(1+Sensitivity_BE_Order)*0</f>
        <v>0</v>
      </c>
      <c r="BP333" s="410">
        <f>(1+Sensitivity_BE_Order)*(DCC_Complex_Sys_Effort*(1+PM_Overhead)*$AE333)*TierC_TierB_ratio</f>
        <v>52.937500000000007</v>
      </c>
      <c r="BQ333" s="410">
        <f>(1+Sensitivity_BE_Order)*0</f>
        <v>0</v>
      </c>
      <c r="BR333" s="410">
        <f>BP333</f>
        <v>52.937500000000007</v>
      </c>
      <c r="BS333" s="263"/>
      <c r="BT333" s="267"/>
      <c r="BU333" s="267"/>
      <c r="BV333" s="267"/>
      <c r="BW333" s="267"/>
      <c r="BX333" s="267"/>
      <c r="BY333" s="267"/>
      <c r="BZ333" s="267"/>
      <c r="CA333" s="267"/>
      <c r="CB333" s="267"/>
    </row>
    <row r="334" spans="1:80" ht="24" customHeight="1" outlineLevel="1" x14ac:dyDescent="0.2">
      <c r="A334" s="312"/>
      <c r="B334" s="546" t="s">
        <v>113</v>
      </c>
      <c r="C334" s="547" t="s">
        <v>165</v>
      </c>
      <c r="D334" s="470" t="s">
        <v>111</v>
      </c>
      <c r="E334" s="456" t="s">
        <v>157</v>
      </c>
      <c r="F334" s="470" t="s">
        <v>30</v>
      </c>
      <c r="G334" s="458" t="s">
        <v>50</v>
      </c>
      <c r="H334" s="599" t="s">
        <v>119</v>
      </c>
      <c r="I334" s="753"/>
      <c r="J334" s="453"/>
      <c r="K334" s="467"/>
      <c r="L334" s="467"/>
      <c r="M334" s="467"/>
      <c r="N334" s="488"/>
      <c r="O334" s="529" t="s">
        <v>163</v>
      </c>
      <c r="P334" s="488"/>
      <c r="Q334" s="374">
        <v>0</v>
      </c>
      <c r="R334" s="488"/>
      <c r="S334" s="419">
        <f t="shared" ref="S334:Y334" si="331">(1+Sensitivity_BE_Order)*0</f>
        <v>0</v>
      </c>
      <c r="T334" s="419">
        <f t="shared" si="331"/>
        <v>0</v>
      </c>
      <c r="U334" s="419">
        <f t="shared" si="331"/>
        <v>0</v>
      </c>
      <c r="V334" s="419">
        <f t="shared" si="331"/>
        <v>0</v>
      </c>
      <c r="W334" s="419">
        <f t="shared" si="331"/>
        <v>0</v>
      </c>
      <c r="X334" s="419">
        <f t="shared" si="331"/>
        <v>0</v>
      </c>
      <c r="Y334" s="419">
        <f t="shared" si="331"/>
        <v>0</v>
      </c>
      <c r="Z334" s="419">
        <f>(1+Sensitivity_BE_Order)*0</f>
        <v>0</v>
      </c>
      <c r="AA334" s="419">
        <f>(1+Sensitivity_BE_Order)*0</f>
        <v>0</v>
      </c>
      <c r="AB334" s="264"/>
      <c r="AC334" s="529" t="s">
        <v>233</v>
      </c>
      <c r="AD334" s="467"/>
      <c r="AE334" s="374">
        <v>1</v>
      </c>
      <c r="AF334" s="487"/>
      <c r="AG334" s="600">
        <f>(1+Sensitivity_BE_Order)*hw_interface_costs*$AE334</f>
        <v>40000</v>
      </c>
      <c r="AH334" s="600">
        <f>(1+Sensitivity_BE_Order)*hw_interface_costs*$AE334</f>
        <v>40000</v>
      </c>
      <c r="AI334" s="600">
        <f>(1+Sensitivity_BE_Order)*hw_interface_costs*$AE334</f>
        <v>40000</v>
      </c>
      <c r="AJ334" s="600">
        <f>(1+Sensitivity_BE_Order)*hw_interface_costs*$AE334</f>
        <v>40000</v>
      </c>
      <c r="AK334" s="600">
        <f>(1+Sensitivity_BE_Order)*0</f>
        <v>0</v>
      </c>
      <c r="AL334" s="600">
        <f>(1+Sensitivity_BE_Order)*0</f>
        <v>0</v>
      </c>
      <c r="AM334" s="600">
        <f>(1+Sensitivity_BE_Order)*hw_interface_costs*$AE334*TierC_TierB_ratio</f>
        <v>20000</v>
      </c>
      <c r="AN334" s="600">
        <f>(1+Sensitivity_BE_Order)*0</f>
        <v>0</v>
      </c>
      <c r="AO334" s="600">
        <f>AM334</f>
        <v>20000</v>
      </c>
      <c r="AP334" s="264"/>
      <c r="AQ334" s="264"/>
      <c r="AR334" s="529" t="s">
        <v>163</v>
      </c>
      <c r="AS334" s="467"/>
      <c r="AT334" s="488"/>
      <c r="AU334" s="488"/>
      <c r="AV334" s="419">
        <f t="shared" ref="AV334:BB334" si="332">(1+Sensitivity_BE_Order)*0</f>
        <v>0</v>
      </c>
      <c r="AW334" s="419">
        <f t="shared" si="332"/>
        <v>0</v>
      </c>
      <c r="AX334" s="419">
        <f t="shared" si="332"/>
        <v>0</v>
      </c>
      <c r="AY334" s="419">
        <f t="shared" si="332"/>
        <v>0</v>
      </c>
      <c r="AZ334" s="419">
        <f t="shared" si="332"/>
        <v>0</v>
      </c>
      <c r="BA334" s="419">
        <f t="shared" si="332"/>
        <v>0</v>
      </c>
      <c r="BB334" s="419">
        <f t="shared" si="332"/>
        <v>0</v>
      </c>
      <c r="BC334" s="419">
        <f>(1+Sensitivity_BE_Order)*0</f>
        <v>0</v>
      </c>
      <c r="BD334" s="419">
        <f>(1+Sensitivity_BE_Order)*0</f>
        <v>0</v>
      </c>
      <c r="BE334" s="264"/>
      <c r="BF334" s="529" t="s">
        <v>233</v>
      </c>
      <c r="BG334" s="467"/>
      <c r="BH334" s="374">
        <v>1</v>
      </c>
      <c r="BI334" s="487"/>
      <c r="BJ334" s="600">
        <f>(1+Sensitivity_BE_Order)*hw_interface_costs*$AE334</f>
        <v>40000</v>
      </c>
      <c r="BK334" s="600">
        <f>(1+Sensitivity_BE_Order)*hw_interface_costs*$AE334</f>
        <v>40000</v>
      </c>
      <c r="BL334" s="600">
        <f>(1+Sensitivity_BE_Order)*hw_interface_costs*$AE334</f>
        <v>40000</v>
      </c>
      <c r="BM334" s="600">
        <f>(1+Sensitivity_BE_Order)*hw_interface_costs*$AE334</f>
        <v>40000</v>
      </c>
      <c r="BN334" s="600">
        <f>(1+Sensitivity_BE_Order)*0</f>
        <v>0</v>
      </c>
      <c r="BO334" s="600">
        <f>(1+Sensitivity_BE_Order)*0</f>
        <v>0</v>
      </c>
      <c r="BP334" s="600">
        <f>(1+Sensitivity_BE_Order)*hw_interface_costs*$AE334*TierC_TierB_ratio</f>
        <v>20000</v>
      </c>
      <c r="BQ334" s="600">
        <f>(1+Sensitivity_BE_Order)*0</f>
        <v>0</v>
      </c>
      <c r="BR334" s="600">
        <f>BP334</f>
        <v>20000</v>
      </c>
      <c r="BS334" s="263"/>
      <c r="BT334" s="267"/>
      <c r="BU334" s="267"/>
      <c r="BV334" s="267"/>
      <c r="BW334" s="267"/>
      <c r="BX334" s="267"/>
      <c r="BY334" s="267"/>
      <c r="BZ334" s="267"/>
      <c r="CA334" s="267"/>
      <c r="CB334" s="267"/>
    </row>
    <row r="335" spans="1:80" ht="24" customHeight="1" outlineLevel="1" x14ac:dyDescent="0.2">
      <c r="A335" s="312"/>
      <c r="B335" s="546" t="s">
        <v>113</v>
      </c>
      <c r="C335" s="547" t="s">
        <v>165</v>
      </c>
      <c r="D335" s="470" t="s">
        <v>111</v>
      </c>
      <c r="E335" s="456" t="s">
        <v>157</v>
      </c>
      <c r="F335" s="458" t="s">
        <v>49</v>
      </c>
      <c r="G335" s="458" t="s">
        <v>47</v>
      </c>
      <c r="H335" s="599" t="s">
        <v>120</v>
      </c>
      <c r="I335" s="753"/>
      <c r="J335" s="453"/>
      <c r="K335" s="467"/>
      <c r="L335" s="467"/>
      <c r="M335" s="467"/>
      <c r="N335" s="488"/>
      <c r="O335" s="529"/>
      <c r="P335" s="488"/>
      <c r="Q335" s="488"/>
      <c r="R335" s="488"/>
      <c r="S335" s="374">
        <v>0.2</v>
      </c>
      <c r="T335" s="374">
        <v>0.2</v>
      </c>
      <c r="U335" s="374">
        <f t="shared" ref="U335" si="333">S335</f>
        <v>0.2</v>
      </c>
      <c r="V335" s="374">
        <v>0.2</v>
      </c>
      <c r="W335" s="374">
        <v>0.2</v>
      </c>
      <c r="X335" s="374">
        <v>0.2</v>
      </c>
      <c r="Y335" s="374">
        <v>0.2</v>
      </c>
      <c r="Z335" s="374">
        <v>0.2</v>
      </c>
      <c r="AA335" s="374">
        <v>0.2</v>
      </c>
      <c r="AB335" s="264"/>
      <c r="AC335" s="529"/>
      <c r="AD335" s="467"/>
      <c r="AE335" s="488"/>
      <c r="AF335" s="487"/>
      <c r="AG335" s="374">
        <v>0.2</v>
      </c>
      <c r="AH335" s="374">
        <v>0.2</v>
      </c>
      <c r="AI335" s="374">
        <f t="shared" ref="AI335" si="334">AG335</f>
        <v>0.2</v>
      </c>
      <c r="AJ335" s="374">
        <v>0.2</v>
      </c>
      <c r="AK335" s="374">
        <v>0.2</v>
      </c>
      <c r="AL335" s="374">
        <v>0.2</v>
      </c>
      <c r="AM335" s="374">
        <v>0.2</v>
      </c>
      <c r="AN335" s="374">
        <v>0.2</v>
      </c>
      <c r="AO335" s="374">
        <v>0.2</v>
      </c>
      <c r="AP335" s="264"/>
      <c r="AQ335" s="264"/>
      <c r="AR335" s="529"/>
      <c r="AS335" s="467"/>
      <c r="AT335" s="488"/>
      <c r="AU335" s="488"/>
      <c r="AV335" s="374">
        <v>0.2</v>
      </c>
      <c r="AW335" s="374">
        <v>0.2</v>
      </c>
      <c r="AX335" s="374">
        <f t="shared" ref="AX335" si="335">AV335</f>
        <v>0.2</v>
      </c>
      <c r="AY335" s="374">
        <v>0.2</v>
      </c>
      <c r="AZ335" s="374">
        <v>0.2</v>
      </c>
      <c r="BA335" s="374">
        <v>0.2</v>
      </c>
      <c r="BB335" s="374">
        <v>0.2</v>
      </c>
      <c r="BC335" s="374">
        <v>0.2</v>
      </c>
      <c r="BD335" s="374">
        <v>0.2</v>
      </c>
      <c r="BE335" s="264"/>
      <c r="BF335" s="529"/>
      <c r="BG335" s="467"/>
      <c r="BH335" s="488"/>
      <c r="BI335" s="487"/>
      <c r="BJ335" s="374">
        <v>0.2</v>
      </c>
      <c r="BK335" s="374">
        <v>0.2</v>
      </c>
      <c r="BL335" s="374">
        <f t="shared" ref="BL335" si="336">BJ335</f>
        <v>0.2</v>
      </c>
      <c r="BM335" s="374">
        <v>0.2</v>
      </c>
      <c r="BN335" s="374">
        <v>0.2</v>
      </c>
      <c r="BO335" s="374">
        <v>0.2</v>
      </c>
      <c r="BP335" s="374">
        <v>0.2</v>
      </c>
      <c r="BQ335" s="374">
        <v>0.2</v>
      </c>
      <c r="BR335" s="374">
        <v>0.2</v>
      </c>
      <c r="BS335" s="263"/>
      <c r="BT335" s="267"/>
      <c r="BU335" s="267"/>
      <c r="BV335" s="267"/>
      <c r="BW335" s="267"/>
      <c r="BX335" s="267"/>
      <c r="BY335" s="267"/>
      <c r="BZ335" s="267"/>
      <c r="CA335" s="267"/>
      <c r="CB335" s="267"/>
    </row>
    <row r="336" spans="1:80" ht="24" customHeight="1" outlineLevel="1" x14ac:dyDescent="0.2">
      <c r="A336" s="312"/>
      <c r="B336" s="263"/>
      <c r="C336" s="263"/>
      <c r="D336" s="263"/>
      <c r="E336" s="263"/>
      <c r="F336" s="263"/>
      <c r="G336" s="506"/>
      <c r="H336" s="484" t="s">
        <v>204</v>
      </c>
      <c r="I336" s="345"/>
      <c r="J336" s="264"/>
      <c r="K336" s="263"/>
      <c r="L336" s="263"/>
      <c r="M336" s="263"/>
      <c r="N336" s="264"/>
      <c r="O336" s="263"/>
      <c r="P336" s="264"/>
      <c r="Q336" s="658">
        <f>SUMIF($H$324:$H$335,$H$324,Q$324:Q$335)</f>
        <v>1</v>
      </c>
      <c r="R336" s="264"/>
      <c r="S336" s="659">
        <f>SUMIF($H$324:$H$335,$H$324,S$324:S$335)</f>
        <v>352</v>
      </c>
      <c r="T336" s="659">
        <f t="shared" ref="T336:AA336" si="337">SUMIF($H$324:$H$335,$H$324,T$324:T$335)</f>
        <v>528</v>
      </c>
      <c r="U336" s="659">
        <f t="shared" si="337"/>
        <v>352</v>
      </c>
      <c r="V336" s="659">
        <f t="shared" si="337"/>
        <v>352</v>
      </c>
      <c r="W336" s="659">
        <f t="shared" si="337"/>
        <v>484.00000000000006</v>
      </c>
      <c r="X336" s="659">
        <f t="shared" si="337"/>
        <v>352</v>
      </c>
      <c r="Y336" s="659">
        <f t="shared" si="337"/>
        <v>132</v>
      </c>
      <c r="Z336" s="659">
        <f t="shared" si="337"/>
        <v>0</v>
      </c>
      <c r="AA336" s="659">
        <f t="shared" si="337"/>
        <v>132</v>
      </c>
      <c r="AB336" s="264"/>
      <c r="AC336" s="263"/>
      <c r="AD336" s="264"/>
      <c r="AE336" s="658">
        <f>SUMIF($H$324:$H$335,$H$324,AE$324:AE$335)</f>
        <v>1</v>
      </c>
      <c r="AF336" s="264"/>
      <c r="AG336" s="659">
        <f>SUMIF($H$324:$H$335,$H$324,AG$324:AG$335)</f>
        <v>423.50000000000006</v>
      </c>
      <c r="AH336" s="659">
        <f t="shared" ref="AH336:AO336" si="338">SUMIF($H$324:$H$335,$H$324,AH$324:AH$335)</f>
        <v>423.50000000000006</v>
      </c>
      <c r="AI336" s="659">
        <f t="shared" si="338"/>
        <v>423.50000000000006</v>
      </c>
      <c r="AJ336" s="659">
        <f t="shared" si="338"/>
        <v>423.50000000000006</v>
      </c>
      <c r="AK336" s="659">
        <f t="shared" si="338"/>
        <v>0</v>
      </c>
      <c r="AL336" s="659">
        <f t="shared" si="338"/>
        <v>0</v>
      </c>
      <c r="AM336" s="659">
        <f t="shared" si="338"/>
        <v>211.75000000000003</v>
      </c>
      <c r="AN336" s="659">
        <f t="shared" si="338"/>
        <v>0</v>
      </c>
      <c r="AO336" s="659">
        <f t="shared" si="338"/>
        <v>211.75000000000003</v>
      </c>
      <c r="AP336" s="264"/>
      <c r="AQ336" s="264"/>
      <c r="AR336" s="263"/>
      <c r="AS336" s="264"/>
      <c r="AT336" s="658">
        <f>SUMIF($H$324:$H$335,$H$324,AT$324:AT$335)</f>
        <v>1</v>
      </c>
      <c r="AU336" s="264"/>
      <c r="AV336" s="659">
        <f>SUMIF($H$324:$H$335,$H$324,AV$324:AV$335)</f>
        <v>352</v>
      </c>
      <c r="AW336" s="659">
        <f t="shared" ref="AW336:BD336" si="339">SUMIF($H$324:$H$335,$H$324,AW$324:AW$335)</f>
        <v>528</v>
      </c>
      <c r="AX336" s="659">
        <f t="shared" si="339"/>
        <v>352</v>
      </c>
      <c r="AY336" s="659">
        <f t="shared" si="339"/>
        <v>352</v>
      </c>
      <c r="AZ336" s="659">
        <f t="shared" si="339"/>
        <v>484.00000000000006</v>
      </c>
      <c r="BA336" s="659">
        <f t="shared" si="339"/>
        <v>352</v>
      </c>
      <c r="BB336" s="659">
        <f t="shared" si="339"/>
        <v>132</v>
      </c>
      <c r="BC336" s="659">
        <f t="shared" si="339"/>
        <v>0</v>
      </c>
      <c r="BD336" s="659">
        <f t="shared" si="339"/>
        <v>132</v>
      </c>
      <c r="BE336" s="264"/>
      <c r="BF336" s="263"/>
      <c r="BG336" s="264"/>
      <c r="BH336" s="658">
        <f>SUMIF($H$324:$H$335,$H$324,BH$324:BH$335)</f>
        <v>1</v>
      </c>
      <c r="BI336" s="264"/>
      <c r="BJ336" s="659">
        <f>SUMIF($H$324:$H$335,$H$324,BJ$324:BJ$335)</f>
        <v>423.50000000000006</v>
      </c>
      <c r="BK336" s="659">
        <f t="shared" ref="BK336:BR336" si="340">SUMIF($H$324:$H$335,$H$324,BK$324:BK$335)</f>
        <v>423.50000000000006</v>
      </c>
      <c r="BL336" s="659">
        <f t="shared" si="340"/>
        <v>423.50000000000006</v>
      </c>
      <c r="BM336" s="659">
        <f t="shared" si="340"/>
        <v>423.50000000000006</v>
      </c>
      <c r="BN336" s="659">
        <f t="shared" si="340"/>
        <v>0</v>
      </c>
      <c r="BO336" s="659">
        <f t="shared" si="340"/>
        <v>0</v>
      </c>
      <c r="BP336" s="659">
        <f t="shared" si="340"/>
        <v>211.75000000000003</v>
      </c>
      <c r="BQ336" s="659">
        <f t="shared" si="340"/>
        <v>0</v>
      </c>
      <c r="BR336" s="659">
        <f t="shared" si="340"/>
        <v>211.75000000000003</v>
      </c>
      <c r="BS336" s="263"/>
      <c r="BT336" s="267"/>
      <c r="BU336" s="267"/>
      <c r="BV336" s="267"/>
      <c r="BW336" s="267"/>
      <c r="BX336" s="267"/>
      <c r="BY336" s="267"/>
      <c r="BZ336" s="267"/>
      <c r="CA336" s="267"/>
      <c r="CB336" s="267"/>
    </row>
    <row r="337" spans="1:80" ht="24" customHeight="1" x14ac:dyDescent="0.2">
      <c r="A337" s="312"/>
      <c r="B337" s="263"/>
      <c r="C337" s="263"/>
      <c r="D337" s="263"/>
      <c r="E337" s="263"/>
      <c r="F337" s="263"/>
      <c r="G337" s="506"/>
      <c r="H337" s="484" t="s">
        <v>434</v>
      </c>
      <c r="I337" s="345"/>
      <c r="J337" s="264"/>
      <c r="K337" s="263"/>
      <c r="L337" s="263"/>
      <c r="M337" s="263"/>
      <c r="N337" s="264"/>
      <c r="O337" s="263"/>
      <c r="P337" s="264"/>
      <c r="Q337" s="658">
        <f>SUMIF($H$324:$H$335,$H$325,Q$324:Q$335)</f>
        <v>0</v>
      </c>
      <c r="R337" s="264"/>
      <c r="S337" s="659">
        <f>SUMIF($H$324:$H$335,$H$325,S$324:S$335)</f>
        <v>0</v>
      </c>
      <c r="T337" s="659">
        <f t="shared" ref="T337:AA337" si="341">SUMIF($H$324:$H$335,$H$325,T$324:T$335)</f>
        <v>0</v>
      </c>
      <c r="U337" s="659">
        <f t="shared" si="341"/>
        <v>0</v>
      </c>
      <c r="V337" s="659">
        <f t="shared" si="341"/>
        <v>0</v>
      </c>
      <c r="W337" s="659">
        <f t="shared" si="341"/>
        <v>0</v>
      </c>
      <c r="X337" s="659">
        <f t="shared" si="341"/>
        <v>0</v>
      </c>
      <c r="Y337" s="659">
        <f t="shared" si="341"/>
        <v>0</v>
      </c>
      <c r="Z337" s="659">
        <f t="shared" si="341"/>
        <v>0</v>
      </c>
      <c r="AA337" s="659">
        <f t="shared" si="341"/>
        <v>0</v>
      </c>
      <c r="AB337" s="264"/>
      <c r="AC337" s="263"/>
      <c r="AD337" s="264"/>
      <c r="AE337" s="658">
        <f>SUMIF($H$324:$H$335,$H$325,AE$324:AE$335)</f>
        <v>1</v>
      </c>
      <c r="AF337" s="264"/>
      <c r="AG337" s="660">
        <f>SUMIF($H$324:$H$335,$H$325,AG$324:AG$335)</f>
        <v>40000</v>
      </c>
      <c r="AH337" s="660">
        <f t="shared" ref="AH337:AO337" si="342">SUMIF($H$324:$H$335,$H$325,AH$324:AH$335)</f>
        <v>40000</v>
      </c>
      <c r="AI337" s="660">
        <f t="shared" si="342"/>
        <v>40000</v>
      </c>
      <c r="AJ337" s="660">
        <f t="shared" si="342"/>
        <v>40000</v>
      </c>
      <c r="AK337" s="660">
        <f t="shared" si="342"/>
        <v>0</v>
      </c>
      <c r="AL337" s="660">
        <f t="shared" si="342"/>
        <v>0</v>
      </c>
      <c r="AM337" s="660">
        <f t="shared" si="342"/>
        <v>20000</v>
      </c>
      <c r="AN337" s="660">
        <f t="shared" si="342"/>
        <v>0</v>
      </c>
      <c r="AO337" s="660">
        <f t="shared" si="342"/>
        <v>20000</v>
      </c>
      <c r="AP337" s="264"/>
      <c r="AQ337" s="264"/>
      <c r="AR337" s="263"/>
      <c r="AS337" s="264"/>
      <c r="AT337" s="658">
        <f>SUMIF($H$324:$H$335,$H$325,AT$324:AT$335)</f>
        <v>0</v>
      </c>
      <c r="AU337" s="264"/>
      <c r="AV337" s="659">
        <f>SUMIF($H$324:$H$335,$H$325,AV$324:AV$335)</f>
        <v>0</v>
      </c>
      <c r="AW337" s="659">
        <f t="shared" ref="AW337:BD337" si="343">SUMIF($H$324:$H$335,$H$325,AW$324:AW$335)</f>
        <v>0</v>
      </c>
      <c r="AX337" s="659">
        <f t="shared" si="343"/>
        <v>0</v>
      </c>
      <c r="AY337" s="659">
        <f t="shared" si="343"/>
        <v>0</v>
      </c>
      <c r="AZ337" s="659">
        <f t="shared" si="343"/>
        <v>0</v>
      </c>
      <c r="BA337" s="659">
        <f>SUMIF($H$324:$H$335,$H$325,BA$324:BA$335)</f>
        <v>0</v>
      </c>
      <c r="BB337" s="659">
        <f t="shared" si="343"/>
        <v>0</v>
      </c>
      <c r="BC337" s="659">
        <f t="shared" si="343"/>
        <v>0</v>
      </c>
      <c r="BD337" s="659">
        <f t="shared" si="343"/>
        <v>0</v>
      </c>
      <c r="BE337" s="264"/>
      <c r="BF337" s="263"/>
      <c r="BG337" s="264"/>
      <c r="BH337" s="658">
        <f>SUMIF($H$324:$H$335,$H$325,BH$324:BH$335)</f>
        <v>1</v>
      </c>
      <c r="BI337" s="264"/>
      <c r="BJ337" s="660">
        <f>SUMIF($H$324:$H$335,$H$325,BJ$324:BJ$335)</f>
        <v>40000</v>
      </c>
      <c r="BK337" s="660">
        <f t="shared" ref="BK337:BR337" si="344">SUMIF($H$324:$H$335,$H$325,BK$324:BK$335)</f>
        <v>40000</v>
      </c>
      <c r="BL337" s="660">
        <f t="shared" si="344"/>
        <v>40000</v>
      </c>
      <c r="BM337" s="660">
        <f t="shared" si="344"/>
        <v>40000</v>
      </c>
      <c r="BN337" s="660">
        <f t="shared" si="344"/>
        <v>0</v>
      </c>
      <c r="BO337" s="660">
        <f t="shared" si="344"/>
        <v>0</v>
      </c>
      <c r="BP337" s="660">
        <f t="shared" si="344"/>
        <v>20000</v>
      </c>
      <c r="BQ337" s="660">
        <f t="shared" si="344"/>
        <v>0</v>
      </c>
      <c r="BR337" s="660">
        <f t="shared" si="344"/>
        <v>20000</v>
      </c>
      <c r="BS337" s="263"/>
      <c r="BT337" s="267"/>
      <c r="BU337" s="267"/>
      <c r="BV337" s="267"/>
      <c r="BW337" s="267"/>
      <c r="BX337" s="267"/>
      <c r="BY337" s="267"/>
      <c r="BZ337" s="267"/>
      <c r="CA337" s="267"/>
      <c r="CB337" s="267"/>
    </row>
    <row r="338" spans="1:80" s="267" customFormat="1" ht="24" customHeight="1" x14ac:dyDescent="0.2">
      <c r="A338" s="312"/>
      <c r="B338" s="263"/>
      <c r="C338" s="263"/>
      <c r="D338" s="263"/>
      <c r="E338" s="263"/>
      <c r="F338" s="263"/>
      <c r="G338" s="506"/>
      <c r="H338" s="484"/>
      <c r="I338" s="345"/>
      <c r="J338" s="264"/>
      <c r="K338" s="263"/>
      <c r="L338" s="263"/>
      <c r="M338" s="263"/>
      <c r="N338" s="264"/>
      <c r="O338" s="263"/>
      <c r="P338" s="264"/>
      <c r="Q338" s="264"/>
      <c r="R338" s="264"/>
      <c r="S338" s="661"/>
      <c r="T338" s="661"/>
      <c r="U338" s="661"/>
      <c r="V338" s="661"/>
      <c r="W338" s="661"/>
      <c r="X338" s="661"/>
      <c r="Y338" s="661"/>
      <c r="Z338" s="661"/>
      <c r="AA338" s="661"/>
      <c r="AB338" s="264"/>
      <c r="AC338" s="263"/>
      <c r="AD338" s="264"/>
      <c r="AE338" s="264"/>
      <c r="AF338" s="263"/>
      <c r="AG338" s="661"/>
      <c r="AH338" s="661"/>
      <c r="AI338" s="661"/>
      <c r="AJ338" s="661"/>
      <c r="AK338" s="661"/>
      <c r="AL338" s="661"/>
      <c r="AM338" s="661"/>
      <c r="AN338" s="661"/>
      <c r="AO338" s="661"/>
      <c r="AP338" s="264"/>
      <c r="AQ338" s="264"/>
      <c r="AR338" s="263"/>
      <c r="AS338" s="264"/>
      <c r="AT338" s="264"/>
      <c r="AU338" s="264"/>
      <c r="AV338" s="661"/>
      <c r="AW338" s="661"/>
      <c r="AX338" s="661"/>
      <c r="AY338" s="661"/>
      <c r="AZ338" s="661"/>
      <c r="BA338" s="661"/>
      <c r="BB338" s="661"/>
      <c r="BC338" s="661"/>
      <c r="BD338" s="661"/>
      <c r="BE338" s="264"/>
      <c r="BF338" s="263"/>
      <c r="BG338" s="264"/>
      <c r="BH338" s="264"/>
      <c r="BI338" s="263"/>
      <c r="BJ338" s="661"/>
      <c r="BK338" s="661"/>
      <c r="BL338" s="661"/>
      <c r="BM338" s="661"/>
      <c r="BN338" s="661"/>
      <c r="BO338" s="661"/>
      <c r="BP338" s="661"/>
      <c r="BQ338" s="661"/>
      <c r="BR338" s="661"/>
      <c r="BS338" s="263"/>
    </row>
    <row r="339" spans="1:80" ht="127.5" customHeight="1" x14ac:dyDescent="0.2">
      <c r="A339" s="312"/>
      <c r="B339" s="647"/>
      <c r="C339" s="647" t="s">
        <v>113</v>
      </c>
      <c r="D339" s="648" t="s">
        <v>195</v>
      </c>
      <c r="E339" s="648"/>
      <c r="F339" s="648"/>
      <c r="G339" s="648"/>
      <c r="H339" s="620" t="s">
        <v>521</v>
      </c>
      <c r="I339" s="620"/>
      <c r="J339" s="621"/>
      <c r="K339" s="619"/>
      <c r="L339" s="619"/>
      <c r="M339" s="619"/>
      <c r="N339" s="622"/>
      <c r="O339" s="620" t="s">
        <v>518</v>
      </c>
      <c r="P339" s="622"/>
      <c r="Q339" s="622"/>
      <c r="R339" s="622"/>
      <c r="S339" s="649"/>
      <c r="T339" s="650"/>
      <c r="U339" s="650"/>
      <c r="V339" s="650"/>
      <c r="W339" s="650"/>
      <c r="X339" s="650"/>
      <c r="Y339" s="650"/>
      <c r="Z339" s="650"/>
      <c r="AA339" s="650"/>
      <c r="AB339" s="622"/>
      <c r="AC339" s="620" t="s">
        <v>519</v>
      </c>
      <c r="AD339" s="622"/>
      <c r="AE339" s="622"/>
      <c r="AF339" s="619"/>
      <c r="AG339" s="777"/>
      <c r="AH339" s="778"/>
      <c r="AI339" s="778"/>
      <c r="AJ339" s="778"/>
      <c r="AK339" s="778"/>
      <c r="AL339" s="778"/>
      <c r="AM339" s="778"/>
      <c r="AN339" s="778"/>
      <c r="AO339" s="778"/>
      <c r="AP339" s="622"/>
      <c r="AQ339" s="622"/>
      <c r="AR339" s="620" t="s">
        <v>518</v>
      </c>
      <c r="AS339" s="622"/>
      <c r="AT339" s="622"/>
      <c r="AU339" s="622"/>
      <c r="AV339" s="649"/>
      <c r="AW339" s="650"/>
      <c r="AX339" s="650"/>
      <c r="AY339" s="650"/>
      <c r="AZ339" s="650"/>
      <c r="BA339" s="650"/>
      <c r="BB339" s="650"/>
      <c r="BC339" s="650"/>
      <c r="BD339" s="650"/>
      <c r="BE339" s="622"/>
      <c r="BF339" s="620" t="s">
        <v>519</v>
      </c>
      <c r="BG339" s="622"/>
      <c r="BH339" s="622"/>
      <c r="BI339" s="619"/>
      <c r="BJ339" s="777"/>
      <c r="BK339" s="778"/>
      <c r="BL339" s="778"/>
      <c r="BM339" s="778"/>
      <c r="BN339" s="778"/>
      <c r="BO339" s="778"/>
      <c r="BP339" s="778"/>
      <c r="BQ339" s="778"/>
      <c r="BR339" s="778"/>
      <c r="BS339" s="263"/>
    </row>
    <row r="340" spans="1:80" ht="13.5" outlineLevel="1" thickBot="1" x14ac:dyDescent="0.25">
      <c r="A340" s="312"/>
      <c r="B340" s="263"/>
      <c r="C340" s="263"/>
      <c r="D340" s="263"/>
      <c r="E340" s="263"/>
      <c r="F340" s="263"/>
      <c r="G340" s="506"/>
      <c r="H340" s="263"/>
      <c r="I340" s="345"/>
      <c r="J340" s="264"/>
      <c r="K340" s="263"/>
      <c r="L340" s="263"/>
      <c r="M340" s="263"/>
      <c r="N340" s="264"/>
      <c r="O340" s="263"/>
      <c r="P340" s="264"/>
      <c r="Q340" s="264"/>
      <c r="R340" s="264"/>
      <c r="S340" s="591"/>
      <c r="T340" s="591"/>
      <c r="U340" s="591"/>
      <c r="V340" s="591"/>
      <c r="W340" s="591"/>
      <c r="X340" s="591"/>
      <c r="Y340" s="591"/>
      <c r="Z340" s="591"/>
      <c r="AA340" s="591"/>
      <c r="AB340" s="264"/>
      <c r="AC340" s="263"/>
      <c r="AD340" s="264"/>
      <c r="AE340" s="264"/>
      <c r="AF340" s="263"/>
      <c r="AG340" s="591"/>
      <c r="AH340" s="591"/>
      <c r="AI340" s="591"/>
      <c r="AJ340" s="591"/>
      <c r="AK340" s="591"/>
      <c r="AL340" s="591"/>
      <c r="AM340" s="591"/>
      <c r="AN340" s="591"/>
      <c r="AO340" s="591"/>
      <c r="AP340" s="264"/>
      <c r="AQ340" s="264"/>
      <c r="AR340" s="263"/>
      <c r="AS340" s="264"/>
      <c r="AT340" s="264"/>
      <c r="AU340" s="264"/>
      <c r="AV340" s="591"/>
      <c r="AW340" s="591"/>
      <c r="AX340" s="591"/>
      <c r="AY340" s="591"/>
      <c r="AZ340" s="591"/>
      <c r="BA340" s="591"/>
      <c r="BB340" s="591"/>
      <c r="BC340" s="591"/>
      <c r="BD340" s="591"/>
      <c r="BE340" s="264"/>
      <c r="BF340" s="263"/>
      <c r="BG340" s="264"/>
      <c r="BH340" s="264"/>
      <c r="BI340" s="263"/>
      <c r="BJ340" s="591"/>
      <c r="BK340" s="591"/>
      <c r="BL340" s="591"/>
      <c r="BM340" s="591"/>
      <c r="BN340" s="591"/>
      <c r="BO340" s="591"/>
      <c r="BP340" s="591"/>
      <c r="BQ340" s="591"/>
      <c r="BR340" s="591"/>
      <c r="BS340" s="263"/>
    </row>
    <row r="341" spans="1:80" ht="24" customHeight="1" outlineLevel="1" x14ac:dyDescent="0.2">
      <c r="A341" s="400"/>
      <c r="B341" s="509" t="s">
        <v>113</v>
      </c>
      <c r="C341" s="510" t="s">
        <v>165</v>
      </c>
      <c r="D341" s="473" t="s">
        <v>109</v>
      </c>
      <c r="E341" s="662" t="s">
        <v>175</v>
      </c>
      <c r="F341" s="475" t="s">
        <v>51</v>
      </c>
      <c r="G341" s="426" t="s">
        <v>50</v>
      </c>
      <c r="H341" s="663" t="s">
        <v>214</v>
      </c>
      <c r="I341" s="741" t="s">
        <v>237</v>
      </c>
      <c r="J341" s="411"/>
      <c r="K341" s="523"/>
      <c r="L341" s="523"/>
      <c r="M341" s="523"/>
      <c r="N341" s="523"/>
      <c r="O341" s="426"/>
      <c r="P341" s="523"/>
      <c r="Q341" s="374">
        <v>0.5</v>
      </c>
      <c r="R341" s="523"/>
      <c r="S341" s="410">
        <f>(1+Sensitivity_GP_BE_Comms)*(Standard_Process_Effort*(1+PM_Overhead)*$Q341)</f>
        <v>16.5</v>
      </c>
      <c r="T341" s="410">
        <f>(1+Sensitivity_GP_BE_Comms)*(Standard_Process_Effort*(1+PM_Overhead)*$Q341)</f>
        <v>16.5</v>
      </c>
      <c r="U341" s="410">
        <f>(1+Sensitivity_GP_BE_Comms)*(Standard_Process_Effort*(1+PM_Overhead)*$Q341)</f>
        <v>16.5</v>
      </c>
      <c r="V341" s="410">
        <f>(1+Sensitivity_GP_BE_Comms)*(Standard_Process_Effort*(1+PM_Overhead)*$Q341)</f>
        <v>16.5</v>
      </c>
      <c r="W341" s="410">
        <f>(1+Sensitivity_GP_BE_Comms)*0</f>
        <v>0</v>
      </c>
      <c r="X341" s="410">
        <f>(1+Sensitivity_GP_BE_Comms)*0</f>
        <v>0</v>
      </c>
      <c r="Y341" s="410">
        <f>(1+Sensitivity_GP_BE_Comms)*(Standard_Process_Effort*(1+PM_Overhead)*$Q341)*TierC_TierB_ratio</f>
        <v>8.25</v>
      </c>
      <c r="Z341" s="410">
        <f>(1+Sensitivity_GP_BE_Comms)*0</f>
        <v>0</v>
      </c>
      <c r="AA341" s="410">
        <f>Y341</f>
        <v>8.25</v>
      </c>
      <c r="AB341" s="93"/>
      <c r="AC341" s="426"/>
      <c r="AD341" s="523"/>
      <c r="AE341" s="374">
        <v>0.5</v>
      </c>
      <c r="AF341" s="628"/>
      <c r="AG341" s="410">
        <f>(1+Sensitivity_GP_BE_Comms)*(Standard_Process_Effort*(1+PM_Overhead)*$AE341)</f>
        <v>16.5</v>
      </c>
      <c r="AH341" s="410">
        <f>(1+Sensitivity_GP_BE_Comms)*(Standard_Process_Effort*(1+PM_Overhead)*$AE341)</f>
        <v>16.5</v>
      </c>
      <c r="AI341" s="410">
        <f>(1+Sensitivity_GP_BE_Comms)*(Standard_Process_Effort*(1+PM_Overhead)*$AE341)</f>
        <v>16.5</v>
      </c>
      <c r="AJ341" s="410">
        <f>(1+Sensitivity_GP_BE_Comms)*(Standard_Process_Effort*(1+PM_Overhead)*$AE341)</f>
        <v>16.5</v>
      </c>
      <c r="AK341" s="410">
        <f>(1+Sensitivity_GP_BE_Comms)*0</f>
        <v>0</v>
      </c>
      <c r="AL341" s="410">
        <f>(1+Sensitivity_GP_BE_Comms)*0</f>
        <v>0</v>
      </c>
      <c r="AM341" s="410">
        <f>(1+Sensitivity_GP_BE_Comms)*(Standard_Process_Effort*(1+PM_Overhead)*$AE341)*TierC_TierB_ratio</f>
        <v>8.25</v>
      </c>
      <c r="AN341" s="410">
        <f>(1+Sensitivity_GP_BE_Comms)*0</f>
        <v>0</v>
      </c>
      <c r="AO341" s="410">
        <f>AM341</f>
        <v>8.25</v>
      </c>
      <c r="AP341" s="264"/>
      <c r="AQ341" s="264"/>
      <c r="AR341" s="426"/>
      <c r="AS341" s="523"/>
      <c r="AT341" s="374">
        <v>0.5</v>
      </c>
      <c r="AU341" s="523"/>
      <c r="AV341" s="410">
        <f>(1+Sensitivity_GP_BE_Comms)*(Standard_Process_Effort*(1+PM_Overhead)*$Q341)</f>
        <v>16.5</v>
      </c>
      <c r="AW341" s="410">
        <f>(1+Sensitivity_GP_BE_Comms)*(Standard_Process_Effort*(1+PM_Overhead)*$Q341)</f>
        <v>16.5</v>
      </c>
      <c r="AX341" s="410">
        <f>(1+Sensitivity_GP_BE_Comms)*(Standard_Process_Effort*(1+PM_Overhead)*$Q341)</f>
        <v>16.5</v>
      </c>
      <c r="AY341" s="410">
        <f>(1+Sensitivity_GP_BE_Comms)*(Standard_Process_Effort*(1+PM_Overhead)*$Q341)</f>
        <v>16.5</v>
      </c>
      <c r="AZ341" s="410">
        <f>(1+Sensitivity_GP_BE_Comms)*0</f>
        <v>0</v>
      </c>
      <c r="BA341" s="410">
        <f>(1+Sensitivity_GP_BE_Comms)*0</f>
        <v>0</v>
      </c>
      <c r="BB341" s="410">
        <f>(1+Sensitivity_GP_BE_Comms)*(Standard_Process_Effort*(1+PM_Overhead)*$Q341)*TierC_TierB_ratio</f>
        <v>8.25</v>
      </c>
      <c r="BC341" s="410">
        <f>(1+Sensitivity_GP_BE_Comms)*0</f>
        <v>0</v>
      </c>
      <c r="BD341" s="410">
        <f>BB341</f>
        <v>8.25</v>
      </c>
      <c r="BE341" s="264"/>
      <c r="BF341" s="426"/>
      <c r="BG341" s="523"/>
      <c r="BH341" s="374">
        <v>0.5</v>
      </c>
      <c r="BI341" s="628"/>
      <c r="BJ341" s="410">
        <f>(1+Sensitivity_GP_BE_Comms)*(Standard_Process_Effort*(1+PM_Overhead)*$AE341)</f>
        <v>16.5</v>
      </c>
      <c r="BK341" s="410">
        <f>(1+Sensitivity_GP_BE_Comms)*(Standard_Process_Effort*(1+PM_Overhead)*$AE341)</f>
        <v>16.5</v>
      </c>
      <c r="BL341" s="410">
        <f>(1+Sensitivity_GP_BE_Comms)*(Standard_Process_Effort*(1+PM_Overhead)*$AE341)</f>
        <v>16.5</v>
      </c>
      <c r="BM341" s="410">
        <f>(1+Sensitivity_GP_BE_Comms)*(Standard_Process_Effort*(1+PM_Overhead)*$AE341)</f>
        <v>16.5</v>
      </c>
      <c r="BN341" s="410">
        <f>(1+Sensitivity_GP_BE_Comms)*0</f>
        <v>0</v>
      </c>
      <c r="BO341" s="410">
        <f>(1+Sensitivity_GP_BE_Comms)*0</f>
        <v>0</v>
      </c>
      <c r="BP341" s="410">
        <f>(1+Sensitivity_GP_BE_Comms)*(Standard_Process_Effort*(1+PM_Overhead)*$AE341)*TierC_TierB_ratio</f>
        <v>8.25</v>
      </c>
      <c r="BQ341" s="410">
        <f>(1+Sensitivity_GP_BE_Comms)*0</f>
        <v>0</v>
      </c>
      <c r="BR341" s="410">
        <f>BP341</f>
        <v>8.25</v>
      </c>
      <c r="BS341" s="263"/>
      <c r="BT341" s="267"/>
      <c r="BU341" s="267"/>
      <c r="BV341" s="267"/>
      <c r="BW341" s="267"/>
      <c r="BX341" s="267"/>
      <c r="BY341" s="267"/>
      <c r="BZ341" s="267"/>
      <c r="CA341" s="267"/>
      <c r="CB341" s="267"/>
    </row>
    <row r="342" spans="1:80" ht="24" customHeight="1" outlineLevel="1" x14ac:dyDescent="0.2">
      <c r="A342" s="400"/>
      <c r="B342" s="509" t="s">
        <v>113</v>
      </c>
      <c r="C342" s="510" t="s">
        <v>165</v>
      </c>
      <c r="D342" s="473" t="s">
        <v>109</v>
      </c>
      <c r="E342" s="570" t="s">
        <v>175</v>
      </c>
      <c r="F342" s="475" t="s">
        <v>49</v>
      </c>
      <c r="G342" s="426" t="s">
        <v>47</v>
      </c>
      <c r="H342" s="663" t="s">
        <v>118</v>
      </c>
      <c r="I342" s="742"/>
      <c r="J342" s="411"/>
      <c r="K342" s="523"/>
      <c r="L342" s="523"/>
      <c r="M342" s="523"/>
      <c r="N342" s="523"/>
      <c r="O342" s="432"/>
      <c r="P342" s="523"/>
      <c r="Q342" s="523"/>
      <c r="R342" s="523"/>
      <c r="S342" s="374">
        <v>0.2</v>
      </c>
      <c r="T342" s="374">
        <v>0.2</v>
      </c>
      <c r="U342" s="374">
        <v>0.2</v>
      </c>
      <c r="V342" s="374">
        <v>0.2</v>
      </c>
      <c r="W342" s="374">
        <v>0.2</v>
      </c>
      <c r="X342" s="374">
        <v>0.2</v>
      </c>
      <c r="Y342" s="374">
        <v>0.2</v>
      </c>
      <c r="Z342" s="374">
        <v>0.2</v>
      </c>
      <c r="AA342" s="374">
        <v>0.2</v>
      </c>
      <c r="AB342" s="93"/>
      <c r="AC342" s="432"/>
      <c r="AD342" s="523"/>
      <c r="AE342" s="523"/>
      <c r="AF342" s="628"/>
      <c r="AG342" s="374">
        <v>0.2</v>
      </c>
      <c r="AH342" s="374">
        <v>0.2</v>
      </c>
      <c r="AI342" s="374">
        <v>0.2</v>
      </c>
      <c r="AJ342" s="374">
        <v>0.2</v>
      </c>
      <c r="AK342" s="374">
        <v>0.2</v>
      </c>
      <c r="AL342" s="374">
        <v>0.2</v>
      </c>
      <c r="AM342" s="374">
        <v>0.2</v>
      </c>
      <c r="AN342" s="374">
        <v>0.2</v>
      </c>
      <c r="AO342" s="374">
        <v>0.2</v>
      </c>
      <c r="AP342" s="264"/>
      <c r="AQ342" s="264"/>
      <c r="AR342" s="432"/>
      <c r="AS342" s="523"/>
      <c r="AT342" s="523"/>
      <c r="AU342" s="523"/>
      <c r="AV342" s="374">
        <v>0.2</v>
      </c>
      <c r="AW342" s="374">
        <v>0.2</v>
      </c>
      <c r="AX342" s="374">
        <v>0.2</v>
      </c>
      <c r="AY342" s="374">
        <v>0.2</v>
      </c>
      <c r="AZ342" s="374">
        <v>0.2</v>
      </c>
      <c r="BA342" s="374">
        <v>0.2</v>
      </c>
      <c r="BB342" s="374">
        <v>0.2</v>
      </c>
      <c r="BC342" s="374">
        <v>0.2</v>
      </c>
      <c r="BD342" s="374">
        <v>0.2</v>
      </c>
      <c r="BE342" s="264"/>
      <c r="BF342" s="432"/>
      <c r="BG342" s="523"/>
      <c r="BH342" s="523"/>
      <c r="BI342" s="628"/>
      <c r="BJ342" s="374">
        <v>0.2</v>
      </c>
      <c r="BK342" s="374">
        <v>0.2</v>
      </c>
      <c r="BL342" s="374">
        <v>0.2</v>
      </c>
      <c r="BM342" s="374">
        <v>0.2</v>
      </c>
      <c r="BN342" s="374">
        <v>0.2</v>
      </c>
      <c r="BO342" s="374">
        <v>0.2</v>
      </c>
      <c r="BP342" s="374">
        <v>0.2</v>
      </c>
      <c r="BQ342" s="374">
        <v>0.2</v>
      </c>
      <c r="BR342" s="374">
        <v>0.2</v>
      </c>
      <c r="BS342" s="263"/>
      <c r="BT342" s="267"/>
      <c r="BU342" s="267"/>
      <c r="BV342" s="267"/>
      <c r="BW342" s="267"/>
      <c r="BX342" s="267"/>
      <c r="BY342" s="267"/>
      <c r="BZ342" s="267"/>
      <c r="CA342" s="267"/>
      <c r="CB342" s="267"/>
    </row>
    <row r="343" spans="1:80" ht="24" customHeight="1" outlineLevel="1" x14ac:dyDescent="0.2">
      <c r="A343" s="400"/>
      <c r="B343" s="509" t="s">
        <v>113</v>
      </c>
      <c r="C343" s="510" t="s">
        <v>165</v>
      </c>
      <c r="D343" s="473" t="s">
        <v>109</v>
      </c>
      <c r="E343" s="570" t="s">
        <v>175</v>
      </c>
      <c r="F343" s="475" t="s">
        <v>51</v>
      </c>
      <c r="G343" s="426" t="s">
        <v>50</v>
      </c>
      <c r="H343" s="663" t="s">
        <v>117</v>
      </c>
      <c r="I343" s="742"/>
      <c r="J343" s="407"/>
      <c r="K343" s="411"/>
      <c r="L343" s="411"/>
      <c r="M343" s="411"/>
      <c r="N343" s="205"/>
      <c r="O343" s="664" t="s">
        <v>164</v>
      </c>
      <c r="P343" s="205"/>
      <c r="Q343" s="374">
        <v>0.5</v>
      </c>
      <c r="R343" s="205"/>
      <c r="S343" s="410">
        <f>(1+Sensitivity_GP_BE_Comms)*Training_Duration*$Q343</f>
        <v>1</v>
      </c>
      <c r="T343" s="410">
        <f>(1+Sensitivity_GP_BE_Comms)*Training_Duration*$Q343</f>
        <v>1</v>
      </c>
      <c r="U343" s="410">
        <f>(1+Sensitivity_GP_BE_Comms)*Training_Duration*$Q343</f>
        <v>1</v>
      </c>
      <c r="V343" s="410">
        <f>(1+Sensitivity_GP_BE_Comms)*Training_Duration*$Q343</f>
        <v>1</v>
      </c>
      <c r="W343" s="410">
        <f>(1+Sensitivity_GP_BE_Comms)*0</f>
        <v>0</v>
      </c>
      <c r="X343" s="410">
        <v>0</v>
      </c>
      <c r="Y343" s="410">
        <f>(1+Sensitivity_GP_BE_Comms)*Training_Duration*$Q343</f>
        <v>1</v>
      </c>
      <c r="Z343" s="410">
        <f>(1+Sensitivity_GP_BE_Comms)*Training_Duration*$Q343</f>
        <v>1</v>
      </c>
      <c r="AA343" s="410">
        <f>(1+Sensitivity_GP_BE_Comms)*0</f>
        <v>0</v>
      </c>
      <c r="AB343" s="93"/>
      <c r="AC343" s="664" t="s">
        <v>164</v>
      </c>
      <c r="AD343" s="411"/>
      <c r="AE343" s="374">
        <v>0.5</v>
      </c>
      <c r="AF343" s="630"/>
      <c r="AG343" s="410">
        <f>(1+Sensitivity_GP_BE_Comms)*Training_Duration*$AE343</f>
        <v>1</v>
      </c>
      <c r="AH343" s="410">
        <f>(1+Sensitivity_GP_BE_Comms)*Training_Duration*$AE343</f>
        <v>1</v>
      </c>
      <c r="AI343" s="410">
        <f>(1+Sensitivity_GP_BE_Comms)*Training_Duration*$AE343</f>
        <v>1</v>
      </c>
      <c r="AJ343" s="410">
        <f>(1+Sensitivity_GP_BE_Comms)*Training_Duration*$AE343</f>
        <v>1</v>
      </c>
      <c r="AK343" s="410">
        <f>(1+Sensitivity_GP_BE_Comms)*0</f>
        <v>0</v>
      </c>
      <c r="AL343" s="410">
        <v>0</v>
      </c>
      <c r="AM343" s="410">
        <f>(1+Sensitivity_GP_BE_Comms)*Training_Duration*$AE343</f>
        <v>1</v>
      </c>
      <c r="AN343" s="410">
        <f>(1+Sensitivity_GP_BE_Comms)*Inputs_Estimates!$E$20*50%</f>
        <v>1</v>
      </c>
      <c r="AO343" s="410">
        <f>(1+Sensitivity_GP_BE_Comms)*0</f>
        <v>0</v>
      </c>
      <c r="AP343" s="264"/>
      <c r="AQ343" s="264"/>
      <c r="AR343" s="664" t="s">
        <v>164</v>
      </c>
      <c r="AS343" s="411"/>
      <c r="AT343" s="374">
        <v>0.5</v>
      </c>
      <c r="AU343" s="205"/>
      <c r="AV343" s="410">
        <f>(1+Sensitivity_GP_BE_Comms)*Training_Duration*$Q343</f>
        <v>1</v>
      </c>
      <c r="AW343" s="410">
        <f>(1+Sensitivity_GP_BE_Comms)*Training_Duration*$Q343</f>
        <v>1</v>
      </c>
      <c r="AX343" s="410">
        <f>(1+Sensitivity_GP_BE_Comms)*Training_Duration*$Q343</f>
        <v>1</v>
      </c>
      <c r="AY343" s="410">
        <f>(1+Sensitivity_GP_BE_Comms)*Training_Duration*$Q343</f>
        <v>1</v>
      </c>
      <c r="AZ343" s="410">
        <f>(1+Sensitivity_GP_BE_Comms)*0</f>
        <v>0</v>
      </c>
      <c r="BA343" s="410">
        <v>0</v>
      </c>
      <c r="BB343" s="410">
        <f>(1+Sensitivity_GP_BE_Comms)*Training_Duration*$Q343</f>
        <v>1</v>
      </c>
      <c r="BC343" s="410">
        <f>(1+Sensitivity_GP_BE_Comms)*Training_Duration*$Q343</f>
        <v>1</v>
      </c>
      <c r="BD343" s="410">
        <f>(1+Sensitivity_GP_BE_Comms)*0</f>
        <v>0</v>
      </c>
      <c r="BE343" s="264"/>
      <c r="BF343" s="664" t="s">
        <v>164</v>
      </c>
      <c r="BG343" s="411"/>
      <c r="BH343" s="374">
        <v>0.5</v>
      </c>
      <c r="BI343" s="630"/>
      <c r="BJ343" s="410">
        <f>(1+Sensitivity_GP_BE_Comms)*Training_Duration*$AE343</f>
        <v>1</v>
      </c>
      <c r="BK343" s="410">
        <f>(1+Sensitivity_GP_BE_Comms)*Training_Duration*$AE343</f>
        <v>1</v>
      </c>
      <c r="BL343" s="410">
        <f>(1+Sensitivity_GP_BE_Comms)*Training_Duration*$AE343</f>
        <v>1</v>
      </c>
      <c r="BM343" s="410">
        <f>(1+Sensitivity_GP_BE_Comms)*Training_Duration*$AE343</f>
        <v>1</v>
      </c>
      <c r="BN343" s="410">
        <f>(1+Sensitivity_GP_BE_Comms)*0</f>
        <v>0</v>
      </c>
      <c r="BO343" s="410">
        <v>0</v>
      </c>
      <c r="BP343" s="410">
        <f>(1+Sensitivity_GP_BE_Comms)*Training_Duration*$AE343</f>
        <v>1</v>
      </c>
      <c r="BQ343" s="410">
        <f>(1+Sensitivity_GP_BE_Comms)*Inputs_Estimates!$E$20*50%</f>
        <v>1</v>
      </c>
      <c r="BR343" s="410">
        <f>(1+Sensitivity_GP_BE_Comms)*0</f>
        <v>0</v>
      </c>
      <c r="BS343" s="263"/>
      <c r="BT343" s="267"/>
      <c r="BU343" s="267"/>
      <c r="BV343" s="267"/>
      <c r="BW343" s="267"/>
      <c r="BX343" s="267"/>
      <c r="BY343" s="267"/>
      <c r="BZ343" s="267"/>
      <c r="CA343" s="267"/>
      <c r="CB343" s="267"/>
    </row>
    <row r="344" spans="1:80" ht="24" customHeight="1" outlineLevel="1" x14ac:dyDescent="0.2">
      <c r="A344" s="400"/>
      <c r="B344" s="509" t="s">
        <v>113</v>
      </c>
      <c r="C344" s="510" t="s">
        <v>165</v>
      </c>
      <c r="D344" s="473" t="s">
        <v>109</v>
      </c>
      <c r="E344" s="570" t="s">
        <v>175</v>
      </c>
      <c r="F344" s="475" t="s">
        <v>48</v>
      </c>
      <c r="G344" s="426" t="s">
        <v>50</v>
      </c>
      <c r="H344" s="663" t="s">
        <v>116</v>
      </c>
      <c r="I344" s="743"/>
      <c r="J344" s="417"/>
      <c r="K344" s="411"/>
      <c r="L344" s="411"/>
      <c r="M344" s="411"/>
      <c r="N344" s="523"/>
      <c r="O344" s="578" t="s">
        <v>218</v>
      </c>
      <c r="P344" s="523"/>
      <c r="Q344" s="523"/>
      <c r="R344" s="523"/>
      <c r="S344" s="410">
        <v>0</v>
      </c>
      <c r="T344" s="410">
        <v>0</v>
      </c>
      <c r="U344" s="410">
        <v>0</v>
      </c>
      <c r="V344" s="410">
        <v>0</v>
      </c>
      <c r="W344" s="410">
        <v>0</v>
      </c>
      <c r="X344" s="410">
        <v>0</v>
      </c>
      <c r="Y344" s="410">
        <v>0</v>
      </c>
      <c r="Z344" s="410">
        <v>0</v>
      </c>
      <c r="AA344" s="410">
        <v>0</v>
      </c>
      <c r="AB344" s="93"/>
      <c r="AC344" s="578" t="s">
        <v>218</v>
      </c>
      <c r="AD344" s="411"/>
      <c r="AE344" s="523"/>
      <c r="AF344" s="628"/>
      <c r="AG344" s="410">
        <v>0</v>
      </c>
      <c r="AH344" s="410">
        <v>0</v>
      </c>
      <c r="AI344" s="410">
        <v>0</v>
      </c>
      <c r="AJ344" s="410">
        <v>0</v>
      </c>
      <c r="AK344" s="410">
        <v>0</v>
      </c>
      <c r="AL344" s="410">
        <v>0</v>
      </c>
      <c r="AM344" s="410">
        <v>0</v>
      </c>
      <c r="AN344" s="410">
        <v>0</v>
      </c>
      <c r="AO344" s="410">
        <v>0</v>
      </c>
      <c r="AP344" s="264"/>
      <c r="AQ344" s="264"/>
      <c r="AR344" s="578" t="s">
        <v>218</v>
      </c>
      <c r="AS344" s="411"/>
      <c r="AT344" s="523"/>
      <c r="AU344" s="523"/>
      <c r="AV344" s="410">
        <v>0</v>
      </c>
      <c r="AW344" s="410">
        <v>0</v>
      </c>
      <c r="AX344" s="410">
        <v>0</v>
      </c>
      <c r="AY344" s="410">
        <v>0</v>
      </c>
      <c r="AZ344" s="410">
        <v>0</v>
      </c>
      <c r="BA344" s="410">
        <v>0</v>
      </c>
      <c r="BB344" s="410">
        <v>0</v>
      </c>
      <c r="BC344" s="410">
        <v>0</v>
      </c>
      <c r="BD344" s="410">
        <v>0</v>
      </c>
      <c r="BE344" s="264"/>
      <c r="BF344" s="578" t="s">
        <v>218</v>
      </c>
      <c r="BG344" s="411"/>
      <c r="BH344" s="523"/>
      <c r="BI344" s="628"/>
      <c r="BJ344" s="410">
        <v>0</v>
      </c>
      <c r="BK344" s="410">
        <v>0</v>
      </c>
      <c r="BL344" s="410">
        <v>0</v>
      </c>
      <c r="BM344" s="410">
        <v>0</v>
      </c>
      <c r="BN344" s="410">
        <v>0</v>
      </c>
      <c r="BO344" s="410">
        <v>0</v>
      </c>
      <c r="BP344" s="410">
        <v>0</v>
      </c>
      <c r="BQ344" s="410">
        <v>0</v>
      </c>
      <c r="BR344" s="410">
        <v>0</v>
      </c>
      <c r="BS344" s="263"/>
      <c r="BT344" s="267"/>
      <c r="BU344" s="267"/>
      <c r="BV344" s="267"/>
      <c r="BW344" s="267"/>
      <c r="BX344" s="267"/>
      <c r="BY344" s="267"/>
      <c r="BZ344" s="267"/>
      <c r="CA344" s="267"/>
      <c r="CB344" s="267"/>
    </row>
    <row r="345" spans="1:80" ht="24" customHeight="1" outlineLevel="1" x14ac:dyDescent="0.2">
      <c r="A345" s="312"/>
      <c r="B345" s="546" t="s">
        <v>113</v>
      </c>
      <c r="C345" s="547" t="s">
        <v>165</v>
      </c>
      <c r="D345" s="515" t="s">
        <v>109</v>
      </c>
      <c r="E345" s="438" t="s">
        <v>150</v>
      </c>
      <c r="F345" s="414" t="s">
        <v>51</v>
      </c>
      <c r="G345" s="413" t="s">
        <v>50</v>
      </c>
      <c r="H345" s="511" t="s">
        <v>214</v>
      </c>
      <c r="I345" s="744" t="s">
        <v>238</v>
      </c>
      <c r="J345" s="424"/>
      <c r="K345" s="665"/>
      <c r="L345" s="665"/>
      <c r="M345" s="665"/>
      <c r="N345" s="523"/>
      <c r="O345" s="514"/>
      <c r="P345" s="523"/>
      <c r="Q345" s="374">
        <v>0.5</v>
      </c>
      <c r="R345" s="523"/>
      <c r="S345" s="410">
        <f>(1+Sensitivity_GP_BE_Comms)*(Standard_Process_Effort*(1+PM_Overhead)*$Q345)</f>
        <v>16.5</v>
      </c>
      <c r="T345" s="410">
        <f>(1+Sensitivity_GP_BE_Comms)*(Standard_Process_Effort*(1+PM_Overhead)*$Q345)</f>
        <v>16.5</v>
      </c>
      <c r="U345" s="410">
        <f>(1+Sensitivity_GP_BE_Comms)*(Standard_Process_Effort*(1+PM_Overhead)*$Q345)</f>
        <v>16.5</v>
      </c>
      <c r="V345" s="410">
        <f>(1+Sensitivity_GP_BE_Comms)*(Standard_Process_Effort*(1+PM_Overhead)*$Q345)</f>
        <v>16.5</v>
      </c>
      <c r="W345" s="410">
        <f>(1+Sensitivity_GP_BE_Comms)*0</f>
        <v>0</v>
      </c>
      <c r="X345" s="410">
        <f>(1+Sensitivity_GP_BE_Comms)*(Standard_Process_Effort*(1+PM_Overhead)*$Q345)</f>
        <v>16.5</v>
      </c>
      <c r="Y345" s="410">
        <f>(1+Sensitivity_GP_BE_Comms)*(Standard_Process_Effort*(1+PM_Overhead)*$Q345)*TierC_TierB_ratio</f>
        <v>8.25</v>
      </c>
      <c r="Z345" s="410">
        <f>(1+Sensitivity_GP_BE_Comms)*0</f>
        <v>0</v>
      </c>
      <c r="AA345" s="410">
        <f>Y345</f>
        <v>8.25</v>
      </c>
      <c r="AB345" s="264"/>
      <c r="AC345" s="514"/>
      <c r="AD345" s="665"/>
      <c r="AE345" s="374">
        <v>0.5</v>
      </c>
      <c r="AF345" s="628"/>
      <c r="AG345" s="410">
        <f>(1+Sensitivity_GP_BE_Comms)*(Standard_Process_Effort*(1+PM_Overhead)*$AE345)</f>
        <v>16.5</v>
      </c>
      <c r="AH345" s="410">
        <f>(1+Sensitivity_GP_BE_Comms)*(Standard_Process_Effort*(1+PM_Overhead)*$AE345)</f>
        <v>16.5</v>
      </c>
      <c r="AI345" s="410">
        <f>(1+Sensitivity_GP_BE_Comms)*(Standard_Process_Effort*(1+PM_Overhead)*$AE345)</f>
        <v>16.5</v>
      </c>
      <c r="AJ345" s="410">
        <f>(1+Sensitivity_GP_BE_Comms)*(Standard_Process_Effort*(1+PM_Overhead)*$AE345)</f>
        <v>16.5</v>
      </c>
      <c r="AK345" s="410">
        <f>(1+Sensitivity_GP_BE_Comms)*0</f>
        <v>0</v>
      </c>
      <c r="AL345" s="410">
        <f>(1+Sensitivity_GP_BE_Comms)*0</f>
        <v>0</v>
      </c>
      <c r="AM345" s="410">
        <f>(1+Sensitivity_GP_BE_Comms)*(Standard_Process_Effort*(1+PM_Overhead)*$AE345)*TierC_TierB_ratio</f>
        <v>8.25</v>
      </c>
      <c r="AN345" s="410">
        <f>(1+Sensitivity_GP_BE_Comms)*0</f>
        <v>0</v>
      </c>
      <c r="AO345" s="410">
        <f>AM345</f>
        <v>8.25</v>
      </c>
      <c r="AP345" s="264"/>
      <c r="AQ345" s="264"/>
      <c r="AR345" s="514"/>
      <c r="AS345" s="665"/>
      <c r="AT345" s="374">
        <v>0.5</v>
      </c>
      <c r="AU345" s="523"/>
      <c r="AV345" s="410">
        <f>(1+Sensitivity_GP_BE_Comms)*(Standard_Process_Effort*(1+PM_Overhead)*$Q345)</f>
        <v>16.5</v>
      </c>
      <c r="AW345" s="410">
        <f>(1+Sensitivity_GP_BE_Comms)*(Standard_Process_Effort*(1+PM_Overhead)*$Q345)</f>
        <v>16.5</v>
      </c>
      <c r="AX345" s="410">
        <f>(1+Sensitivity_GP_BE_Comms)*(Standard_Process_Effort*(1+PM_Overhead)*$Q345)</f>
        <v>16.5</v>
      </c>
      <c r="AY345" s="410">
        <f>(1+Sensitivity_GP_BE_Comms)*(Standard_Process_Effort*(1+PM_Overhead)*$Q345)</f>
        <v>16.5</v>
      </c>
      <c r="AZ345" s="410">
        <f>(1+Sensitivity_GP_BE_Comms)*0</f>
        <v>0</v>
      </c>
      <c r="BA345" s="410">
        <f>(1+Sensitivity_GP_BE_Comms)*(Standard_Process_Effort*(1+PM_Overhead)*$Q345)</f>
        <v>16.5</v>
      </c>
      <c r="BB345" s="410">
        <f>(1+Sensitivity_GP_BE_Comms)*(Standard_Process_Effort*(1+PM_Overhead)*$Q345)*TierC_TierB_ratio</f>
        <v>8.25</v>
      </c>
      <c r="BC345" s="410">
        <f>(1+Sensitivity_GP_BE_Comms)*0</f>
        <v>0</v>
      </c>
      <c r="BD345" s="410">
        <f>BB345</f>
        <v>8.25</v>
      </c>
      <c r="BE345" s="264"/>
      <c r="BF345" s="514"/>
      <c r="BG345" s="665"/>
      <c r="BH345" s="374">
        <v>0.5</v>
      </c>
      <c r="BI345" s="628"/>
      <c r="BJ345" s="410">
        <f>(1+Sensitivity_GP_BE_Comms)*(Standard_Process_Effort*(1+PM_Overhead)*$AE345)</f>
        <v>16.5</v>
      </c>
      <c r="BK345" s="410">
        <f>(1+Sensitivity_GP_BE_Comms)*(Standard_Process_Effort*(1+PM_Overhead)*$AE345)</f>
        <v>16.5</v>
      </c>
      <c r="BL345" s="410">
        <f>(1+Sensitivity_GP_BE_Comms)*(Standard_Process_Effort*(1+PM_Overhead)*$AE345)</f>
        <v>16.5</v>
      </c>
      <c r="BM345" s="410">
        <f>(1+Sensitivity_GP_BE_Comms)*(Standard_Process_Effort*(1+PM_Overhead)*$AE345)</f>
        <v>16.5</v>
      </c>
      <c r="BN345" s="410">
        <f>(1+Sensitivity_GP_BE_Comms)*0</f>
        <v>0</v>
      </c>
      <c r="BO345" s="410">
        <f>(1+Sensitivity_GP_BE_Comms)*0</f>
        <v>0</v>
      </c>
      <c r="BP345" s="410">
        <f>(1+Sensitivity_GP_BE_Comms)*(Standard_Process_Effort*(1+PM_Overhead)*$AE345)*TierC_TierB_ratio</f>
        <v>8.25</v>
      </c>
      <c r="BQ345" s="410">
        <f>(1+Sensitivity_GP_BE_Comms)*0</f>
        <v>0</v>
      </c>
      <c r="BR345" s="410">
        <f>BP345</f>
        <v>8.25</v>
      </c>
      <c r="BS345" s="263"/>
      <c r="BT345" s="267"/>
      <c r="BU345" s="267"/>
      <c r="BV345" s="267"/>
      <c r="BW345" s="267"/>
      <c r="BX345" s="267"/>
      <c r="BY345" s="267"/>
      <c r="BZ345" s="267"/>
      <c r="CA345" s="267"/>
      <c r="CB345" s="267"/>
    </row>
    <row r="346" spans="1:80" ht="24" customHeight="1" outlineLevel="1" x14ac:dyDescent="0.2">
      <c r="A346" s="312"/>
      <c r="B346" s="546" t="s">
        <v>113</v>
      </c>
      <c r="C346" s="547" t="s">
        <v>165</v>
      </c>
      <c r="D346" s="515" t="s">
        <v>109</v>
      </c>
      <c r="E346" s="438" t="s">
        <v>150</v>
      </c>
      <c r="F346" s="414" t="s">
        <v>49</v>
      </c>
      <c r="G346" s="413" t="s">
        <v>47</v>
      </c>
      <c r="H346" s="511" t="s">
        <v>118</v>
      </c>
      <c r="I346" s="745"/>
      <c r="J346" s="424"/>
      <c r="K346" s="665"/>
      <c r="L346" s="665"/>
      <c r="M346" s="665"/>
      <c r="N346" s="523"/>
      <c r="O346" s="666" t="s">
        <v>93</v>
      </c>
      <c r="P346" s="523"/>
      <c r="Q346" s="523"/>
      <c r="R346" s="523"/>
      <c r="S346" s="374">
        <v>0.2</v>
      </c>
      <c r="T346" s="374">
        <v>0.2</v>
      </c>
      <c r="U346" s="374">
        <v>0.2</v>
      </c>
      <c r="V346" s="374">
        <v>0.2</v>
      </c>
      <c r="W346" s="374">
        <v>0.2</v>
      </c>
      <c r="X346" s="374">
        <v>0.2</v>
      </c>
      <c r="Y346" s="374">
        <v>0.2</v>
      </c>
      <c r="Z346" s="374">
        <v>0.2</v>
      </c>
      <c r="AA346" s="374">
        <v>0.2</v>
      </c>
      <c r="AB346" s="264"/>
      <c r="AC346" s="666" t="s">
        <v>93</v>
      </c>
      <c r="AD346" s="665"/>
      <c r="AE346" s="523"/>
      <c r="AF346" s="628"/>
      <c r="AG346" s="374">
        <v>0.2</v>
      </c>
      <c r="AH346" s="374">
        <v>0.2</v>
      </c>
      <c r="AI346" s="374">
        <v>0.2</v>
      </c>
      <c r="AJ346" s="374">
        <v>0.2</v>
      </c>
      <c r="AK346" s="374">
        <v>0.2</v>
      </c>
      <c r="AL346" s="374">
        <v>0.2</v>
      </c>
      <c r="AM346" s="374">
        <v>0.2</v>
      </c>
      <c r="AN346" s="374">
        <v>0.2</v>
      </c>
      <c r="AO346" s="374">
        <v>0.2</v>
      </c>
      <c r="AP346" s="264"/>
      <c r="AQ346" s="264"/>
      <c r="AR346" s="666" t="s">
        <v>93</v>
      </c>
      <c r="AS346" s="665"/>
      <c r="AT346" s="523"/>
      <c r="AU346" s="523"/>
      <c r="AV346" s="374">
        <v>0.2</v>
      </c>
      <c r="AW346" s="374">
        <v>0.2</v>
      </c>
      <c r="AX346" s="374">
        <v>0.2</v>
      </c>
      <c r="AY346" s="374">
        <v>0.2</v>
      </c>
      <c r="AZ346" s="374">
        <v>0.2</v>
      </c>
      <c r="BA346" s="374">
        <v>0.2</v>
      </c>
      <c r="BB346" s="374">
        <v>0.2</v>
      </c>
      <c r="BC346" s="374">
        <v>0.2</v>
      </c>
      <c r="BD346" s="374">
        <v>0.2</v>
      </c>
      <c r="BE346" s="264"/>
      <c r="BF346" s="666" t="s">
        <v>93</v>
      </c>
      <c r="BG346" s="665"/>
      <c r="BH346" s="523"/>
      <c r="BI346" s="628"/>
      <c r="BJ346" s="374">
        <v>0.2</v>
      </c>
      <c r="BK346" s="374">
        <v>0.2</v>
      </c>
      <c r="BL346" s="374">
        <v>0.2</v>
      </c>
      <c r="BM346" s="374">
        <v>0.2</v>
      </c>
      <c r="BN346" s="374">
        <v>0.2</v>
      </c>
      <c r="BO346" s="374">
        <v>0.2</v>
      </c>
      <c r="BP346" s="374">
        <v>0.2</v>
      </c>
      <c r="BQ346" s="374">
        <v>0.2</v>
      </c>
      <c r="BR346" s="374">
        <v>0.2</v>
      </c>
      <c r="BS346" s="263"/>
      <c r="BT346" s="267"/>
      <c r="BU346" s="267"/>
      <c r="BV346" s="267"/>
      <c r="BW346" s="267"/>
      <c r="BX346" s="267"/>
      <c r="BY346" s="267"/>
      <c r="BZ346" s="267"/>
      <c r="CA346" s="267"/>
      <c r="CB346" s="267"/>
    </row>
    <row r="347" spans="1:80" ht="24" customHeight="1" outlineLevel="1" x14ac:dyDescent="0.2">
      <c r="A347" s="312"/>
      <c r="B347" s="546" t="s">
        <v>113</v>
      </c>
      <c r="C347" s="547" t="s">
        <v>165</v>
      </c>
      <c r="D347" s="515" t="s">
        <v>109</v>
      </c>
      <c r="E347" s="438" t="s">
        <v>150</v>
      </c>
      <c r="F347" s="414" t="s">
        <v>51</v>
      </c>
      <c r="G347" s="413" t="s">
        <v>50</v>
      </c>
      <c r="H347" s="511" t="s">
        <v>117</v>
      </c>
      <c r="I347" s="745"/>
      <c r="J347" s="424"/>
      <c r="K347" s="645"/>
      <c r="L347" s="645"/>
      <c r="M347" s="645"/>
      <c r="N347" s="205"/>
      <c r="O347" s="667" t="s">
        <v>68</v>
      </c>
      <c r="P347" s="205"/>
      <c r="Q347" s="374">
        <v>0.5</v>
      </c>
      <c r="R347" s="205"/>
      <c r="S347" s="410">
        <f>(1+Sensitivity_GP_BE_Comms)*Training_Duration*$Q347</f>
        <v>1</v>
      </c>
      <c r="T347" s="410">
        <f>(1+Sensitivity_GP_BE_Comms)*Training_Duration*$Q347</f>
        <v>1</v>
      </c>
      <c r="U347" s="410">
        <f>(1+Sensitivity_GP_BE_Comms)*Training_Duration*$Q347</f>
        <v>1</v>
      </c>
      <c r="V347" s="410">
        <f>(1+Sensitivity_GP_BE_Comms)*Training_Duration*$Q347</f>
        <v>1</v>
      </c>
      <c r="W347" s="410">
        <f>(1+Sensitivity_GP_BE_Comms)*0</f>
        <v>0</v>
      </c>
      <c r="X347" s="410">
        <f>(1+Sensitivity_GP_BE_Comms)*Training_Duration*$Q347</f>
        <v>1</v>
      </c>
      <c r="Y347" s="410">
        <f>(1+Sensitivity_GP_BE_Comms)*Training_Duration*$Q347</f>
        <v>1</v>
      </c>
      <c r="Z347" s="410">
        <f>(1+Sensitivity_GP_BE_Comms)*Training_Duration*$Q347</f>
        <v>1</v>
      </c>
      <c r="AA347" s="410">
        <f>(1+Sensitivity_GP_BE_Comms)*0</f>
        <v>0</v>
      </c>
      <c r="AB347" s="264"/>
      <c r="AC347" s="667" t="s">
        <v>68</v>
      </c>
      <c r="AD347" s="645"/>
      <c r="AE347" s="374">
        <v>0.5</v>
      </c>
      <c r="AF347" s="630"/>
      <c r="AG347" s="410">
        <f>(1+Sensitivity_GP_BE_Comms)*Training_Duration*$AE347</f>
        <v>1</v>
      </c>
      <c r="AH347" s="410">
        <f>(1+Sensitivity_GP_BE_Comms)*Training_Duration*$AE347</f>
        <v>1</v>
      </c>
      <c r="AI347" s="410">
        <f>(1+Sensitivity_GP_BE_Comms)*Training_Duration*$AE347</f>
        <v>1</v>
      </c>
      <c r="AJ347" s="410">
        <f>(1+Sensitivity_GP_BE_Comms)*Training_Duration*$AE347</f>
        <v>1</v>
      </c>
      <c r="AK347" s="410">
        <f>(1+Sensitivity_GP_BE_Comms)*0</f>
        <v>0</v>
      </c>
      <c r="AL347" s="410">
        <v>0</v>
      </c>
      <c r="AM347" s="410">
        <f>(1+Sensitivity_GP_BE_Comms)*Training_Duration*$AE347</f>
        <v>1</v>
      </c>
      <c r="AN347" s="410">
        <f>(1+Sensitivity_GP_BE_Comms)*Inputs_Estimates!$E$20*50%</f>
        <v>1</v>
      </c>
      <c r="AO347" s="410">
        <f>(1+Sensitivity_GP_BE_Comms)*0</f>
        <v>0</v>
      </c>
      <c r="AP347" s="264"/>
      <c r="AQ347" s="264"/>
      <c r="AR347" s="667" t="s">
        <v>68</v>
      </c>
      <c r="AS347" s="645"/>
      <c r="AT347" s="374">
        <v>0.5</v>
      </c>
      <c r="AU347" s="205"/>
      <c r="AV347" s="410">
        <f>(1+Sensitivity_GP_BE_Comms)*Training_Duration*$Q347</f>
        <v>1</v>
      </c>
      <c r="AW347" s="410">
        <f>(1+Sensitivity_GP_BE_Comms)*Training_Duration*$Q347</f>
        <v>1</v>
      </c>
      <c r="AX347" s="410">
        <f>(1+Sensitivity_GP_BE_Comms)*Training_Duration*$Q347</f>
        <v>1</v>
      </c>
      <c r="AY347" s="410">
        <f>(1+Sensitivity_GP_BE_Comms)*Training_Duration*$Q347</f>
        <v>1</v>
      </c>
      <c r="AZ347" s="410">
        <f>(1+Sensitivity_GP_BE_Comms)*0</f>
        <v>0</v>
      </c>
      <c r="BA347" s="410">
        <f>(1+Sensitivity_GP_BE_Comms)*Training_Duration*$Q347</f>
        <v>1</v>
      </c>
      <c r="BB347" s="410">
        <f>(1+Sensitivity_GP_BE_Comms)*Training_Duration*$Q347</f>
        <v>1</v>
      </c>
      <c r="BC347" s="410">
        <f>(1+Sensitivity_GP_BE_Comms)*Training_Duration*$Q347</f>
        <v>1</v>
      </c>
      <c r="BD347" s="410">
        <f>(1+Sensitivity_GP_BE_Comms)*0</f>
        <v>0</v>
      </c>
      <c r="BE347" s="264"/>
      <c r="BF347" s="667" t="s">
        <v>68</v>
      </c>
      <c r="BG347" s="645"/>
      <c r="BH347" s="374">
        <v>0.5</v>
      </c>
      <c r="BI347" s="630"/>
      <c r="BJ347" s="410">
        <f>(1+Sensitivity_GP_BE_Comms)*Training_Duration*$AE347</f>
        <v>1</v>
      </c>
      <c r="BK347" s="410">
        <f>(1+Sensitivity_GP_BE_Comms)*Training_Duration*$AE347</f>
        <v>1</v>
      </c>
      <c r="BL347" s="410">
        <f>(1+Sensitivity_GP_BE_Comms)*Training_Duration*$AE347</f>
        <v>1</v>
      </c>
      <c r="BM347" s="410">
        <f>(1+Sensitivity_GP_BE_Comms)*Training_Duration*$AE347</f>
        <v>1</v>
      </c>
      <c r="BN347" s="410">
        <f>(1+Sensitivity_GP_BE_Comms)*0</f>
        <v>0</v>
      </c>
      <c r="BO347" s="410">
        <v>0</v>
      </c>
      <c r="BP347" s="410">
        <f>(1+Sensitivity_GP_BE_Comms)*Training_Duration*$AE347</f>
        <v>1</v>
      </c>
      <c r="BQ347" s="410">
        <f>(1+Sensitivity_GP_BE_Comms)*Inputs_Estimates!$E$20*50%</f>
        <v>1</v>
      </c>
      <c r="BR347" s="410">
        <f>(1+Sensitivity_GP_BE_Comms)*0</f>
        <v>0</v>
      </c>
      <c r="BS347" s="263"/>
      <c r="BT347" s="267"/>
      <c r="BU347" s="267"/>
      <c r="BV347" s="267"/>
      <c r="BW347" s="267"/>
      <c r="BX347" s="267"/>
      <c r="BY347" s="267"/>
      <c r="BZ347" s="267"/>
      <c r="CA347" s="267"/>
      <c r="CB347" s="267"/>
    </row>
    <row r="348" spans="1:80" ht="24" customHeight="1" outlineLevel="1" x14ac:dyDescent="0.2">
      <c r="A348" s="312"/>
      <c r="B348" s="546" t="s">
        <v>113</v>
      </c>
      <c r="C348" s="547" t="s">
        <v>165</v>
      </c>
      <c r="D348" s="515" t="s">
        <v>109</v>
      </c>
      <c r="E348" s="438" t="s">
        <v>150</v>
      </c>
      <c r="F348" s="414" t="s">
        <v>48</v>
      </c>
      <c r="G348" s="413" t="s">
        <v>50</v>
      </c>
      <c r="H348" s="511" t="s">
        <v>155</v>
      </c>
      <c r="I348" s="746"/>
      <c r="J348" s="424"/>
      <c r="K348" s="665"/>
      <c r="L348" s="665"/>
      <c r="M348" s="665"/>
      <c r="N348" s="523"/>
      <c r="O348" s="667" t="s">
        <v>218</v>
      </c>
      <c r="P348" s="523"/>
      <c r="Q348" s="523"/>
      <c r="R348" s="523"/>
      <c r="S348" s="410">
        <v>0</v>
      </c>
      <c r="T348" s="410">
        <v>0</v>
      </c>
      <c r="U348" s="410">
        <v>0</v>
      </c>
      <c r="V348" s="410">
        <v>0</v>
      </c>
      <c r="W348" s="410">
        <v>0</v>
      </c>
      <c r="X348" s="410">
        <v>0</v>
      </c>
      <c r="Y348" s="410">
        <v>0</v>
      </c>
      <c r="Z348" s="410">
        <v>0</v>
      </c>
      <c r="AA348" s="410">
        <v>0</v>
      </c>
      <c r="AB348" s="264"/>
      <c r="AC348" s="667" t="s">
        <v>218</v>
      </c>
      <c r="AD348" s="665"/>
      <c r="AE348" s="523"/>
      <c r="AF348" s="628"/>
      <c r="AG348" s="410">
        <v>0</v>
      </c>
      <c r="AH348" s="410">
        <v>0</v>
      </c>
      <c r="AI348" s="410">
        <v>0</v>
      </c>
      <c r="AJ348" s="410">
        <v>0</v>
      </c>
      <c r="AK348" s="410">
        <v>0</v>
      </c>
      <c r="AL348" s="410">
        <v>0</v>
      </c>
      <c r="AM348" s="410">
        <v>0</v>
      </c>
      <c r="AN348" s="410">
        <v>0</v>
      </c>
      <c r="AO348" s="410">
        <v>0</v>
      </c>
      <c r="AP348" s="264"/>
      <c r="AQ348" s="264"/>
      <c r="AR348" s="667" t="s">
        <v>218</v>
      </c>
      <c r="AS348" s="665"/>
      <c r="AT348" s="523"/>
      <c r="AU348" s="523"/>
      <c r="AV348" s="410">
        <v>0</v>
      </c>
      <c r="AW348" s="410">
        <v>0</v>
      </c>
      <c r="AX348" s="410">
        <v>0</v>
      </c>
      <c r="AY348" s="410">
        <v>0</v>
      </c>
      <c r="AZ348" s="410">
        <v>0</v>
      </c>
      <c r="BA348" s="410">
        <v>0</v>
      </c>
      <c r="BB348" s="410">
        <v>0</v>
      </c>
      <c r="BC348" s="410">
        <v>0</v>
      </c>
      <c r="BD348" s="410">
        <v>0</v>
      </c>
      <c r="BE348" s="264"/>
      <c r="BF348" s="667" t="s">
        <v>218</v>
      </c>
      <c r="BG348" s="665"/>
      <c r="BH348" s="523"/>
      <c r="BI348" s="628"/>
      <c r="BJ348" s="410">
        <v>0</v>
      </c>
      <c r="BK348" s="410">
        <v>0</v>
      </c>
      <c r="BL348" s="410">
        <v>0</v>
      </c>
      <c r="BM348" s="410">
        <v>0</v>
      </c>
      <c r="BN348" s="410">
        <v>0</v>
      </c>
      <c r="BO348" s="410">
        <v>0</v>
      </c>
      <c r="BP348" s="410">
        <v>0</v>
      </c>
      <c r="BQ348" s="410">
        <v>0</v>
      </c>
      <c r="BR348" s="410">
        <v>0</v>
      </c>
      <c r="BS348" s="263"/>
      <c r="BT348" s="267"/>
      <c r="BU348" s="267"/>
      <c r="BV348" s="267"/>
      <c r="BW348" s="267"/>
      <c r="BX348" s="267"/>
      <c r="BY348" s="267"/>
      <c r="BZ348" s="267"/>
      <c r="CA348" s="267"/>
      <c r="CB348" s="267"/>
    </row>
    <row r="349" spans="1:80" s="139" customFormat="1" ht="24" customHeight="1" outlineLevel="1" x14ac:dyDescent="0.2">
      <c r="A349" s="520"/>
      <c r="B349" s="521"/>
      <c r="C349" s="522"/>
      <c r="D349" s="523"/>
      <c r="E349" s="524"/>
      <c r="F349" s="440"/>
      <c r="G349" s="525"/>
      <c r="H349" s="484" t="s">
        <v>205</v>
      </c>
      <c r="I349" s="358"/>
      <c r="J349" s="424"/>
      <c r="K349" s="668"/>
      <c r="L349" s="668"/>
      <c r="M349" s="668"/>
      <c r="N349" s="523"/>
      <c r="O349" s="669"/>
      <c r="P349" s="523"/>
      <c r="Q349" s="642">
        <f>SUMIF($H$341:$H$348,$H$341,Q$341:Q$348)</f>
        <v>1</v>
      </c>
      <c r="R349" s="523"/>
      <c r="S349" s="561">
        <f>SUMIF($H$341:$H$348,$H$341,S$341:S$348)</f>
        <v>33</v>
      </c>
      <c r="T349" s="561">
        <f t="shared" ref="T349:AA349" si="345">SUMIF($H$341:$H$348,$H$341,T$341:T$348)</f>
        <v>33</v>
      </c>
      <c r="U349" s="561">
        <f t="shared" si="345"/>
        <v>33</v>
      </c>
      <c r="V349" s="561">
        <f t="shared" si="345"/>
        <v>33</v>
      </c>
      <c r="W349" s="561">
        <f t="shared" si="345"/>
        <v>0</v>
      </c>
      <c r="X349" s="561">
        <f t="shared" si="345"/>
        <v>16.5</v>
      </c>
      <c r="Y349" s="561">
        <f t="shared" si="345"/>
        <v>16.5</v>
      </c>
      <c r="Z349" s="561">
        <f t="shared" si="345"/>
        <v>0</v>
      </c>
      <c r="AA349" s="561">
        <f t="shared" si="345"/>
        <v>16.5</v>
      </c>
      <c r="AB349" s="265"/>
      <c r="AC349" s="669"/>
      <c r="AD349" s="668"/>
      <c r="AE349" s="642">
        <f>SUMIF($H$341:$H$348,$H$341,AE$341:AE$348)</f>
        <v>1</v>
      </c>
      <c r="AF349" s="523"/>
      <c r="AG349" s="561">
        <f>SUMIF($H$341:$H$348,$H$341,AG$341:AG$348)</f>
        <v>33</v>
      </c>
      <c r="AH349" s="561">
        <f t="shared" ref="AH349:AO349" si="346">SUMIF($H$341:$H$348,$H$341,AH$341:AH$348)</f>
        <v>33</v>
      </c>
      <c r="AI349" s="561">
        <f t="shared" si="346"/>
        <v>33</v>
      </c>
      <c r="AJ349" s="561">
        <f t="shared" si="346"/>
        <v>33</v>
      </c>
      <c r="AK349" s="561">
        <f t="shared" si="346"/>
        <v>0</v>
      </c>
      <c r="AL349" s="561">
        <f t="shared" si="346"/>
        <v>0</v>
      </c>
      <c r="AM349" s="561">
        <f t="shared" si="346"/>
        <v>16.5</v>
      </c>
      <c r="AN349" s="561">
        <f t="shared" si="346"/>
        <v>0</v>
      </c>
      <c r="AO349" s="561">
        <f t="shared" si="346"/>
        <v>16.5</v>
      </c>
      <c r="AP349" s="265"/>
      <c r="AQ349" s="265"/>
      <c r="AR349" s="669"/>
      <c r="AS349" s="668"/>
      <c r="AT349" s="642">
        <f>SUMIF($H$341:$H$348,$H$341,AT$341:AT$348)</f>
        <v>1</v>
      </c>
      <c r="AU349" s="523"/>
      <c r="AV349" s="561">
        <f>SUMIF($H$341:$H$348,$H$341,AV$341:AV$348)</f>
        <v>33</v>
      </c>
      <c r="AW349" s="561">
        <f t="shared" ref="AW349:BD349" si="347">SUMIF($H$341:$H$348,$H$341,AW$341:AW$348)</f>
        <v>33</v>
      </c>
      <c r="AX349" s="561">
        <f t="shared" si="347"/>
        <v>33</v>
      </c>
      <c r="AY349" s="561">
        <f t="shared" si="347"/>
        <v>33</v>
      </c>
      <c r="AZ349" s="561">
        <f t="shared" si="347"/>
        <v>0</v>
      </c>
      <c r="BA349" s="561">
        <f t="shared" si="347"/>
        <v>16.5</v>
      </c>
      <c r="BB349" s="561">
        <f t="shared" si="347"/>
        <v>16.5</v>
      </c>
      <c r="BC349" s="561">
        <f t="shared" si="347"/>
        <v>0</v>
      </c>
      <c r="BD349" s="561">
        <f t="shared" si="347"/>
        <v>16.5</v>
      </c>
      <c r="BE349" s="265"/>
      <c r="BF349" s="669"/>
      <c r="BG349" s="668"/>
      <c r="BH349" s="642">
        <f>SUMIF($H$341:$H$348,$H$341,BH$341:BH$348)</f>
        <v>1</v>
      </c>
      <c r="BI349" s="523"/>
      <c r="BJ349" s="561">
        <f>SUMIF($H$341:$H$348,$H$341,BJ$341:BJ$348)</f>
        <v>33</v>
      </c>
      <c r="BK349" s="561">
        <f t="shared" ref="BK349:BR349" si="348">SUMIF($H$341:$H$348,$H$341,BK$341:BK$348)</f>
        <v>33</v>
      </c>
      <c r="BL349" s="561">
        <f t="shared" si="348"/>
        <v>33</v>
      </c>
      <c r="BM349" s="561">
        <f t="shared" si="348"/>
        <v>33</v>
      </c>
      <c r="BN349" s="561">
        <f t="shared" si="348"/>
        <v>0</v>
      </c>
      <c r="BO349" s="561">
        <f t="shared" si="348"/>
        <v>0</v>
      </c>
      <c r="BP349" s="561">
        <f t="shared" si="348"/>
        <v>16.5</v>
      </c>
      <c r="BQ349" s="561">
        <f t="shared" si="348"/>
        <v>0</v>
      </c>
      <c r="BR349" s="561">
        <f t="shared" si="348"/>
        <v>16.5</v>
      </c>
      <c r="BS349" s="265"/>
      <c r="BT349" s="267"/>
      <c r="BU349" s="267"/>
      <c r="BV349" s="267"/>
      <c r="BW349" s="267"/>
      <c r="BX349" s="267"/>
      <c r="BY349" s="267"/>
      <c r="BZ349" s="267"/>
      <c r="CA349" s="267"/>
      <c r="CB349" s="267"/>
    </row>
    <row r="350" spans="1:80" s="139" customFormat="1" ht="24" customHeight="1" outlineLevel="1" x14ac:dyDescent="0.2">
      <c r="A350" s="520"/>
      <c r="B350" s="521"/>
      <c r="C350" s="522"/>
      <c r="D350" s="523"/>
      <c r="E350" s="524"/>
      <c r="F350" s="440"/>
      <c r="G350" s="525"/>
      <c r="H350" s="484" t="s">
        <v>216</v>
      </c>
      <c r="I350" s="358"/>
      <c r="J350" s="424"/>
      <c r="K350" s="668"/>
      <c r="L350" s="668"/>
      <c r="M350" s="668"/>
      <c r="N350" s="523"/>
      <c r="O350" s="669"/>
      <c r="P350" s="523"/>
      <c r="Q350" s="642">
        <f>SUMIF($H$341:$H$348,$H$343,Q$341:Q$348)</f>
        <v>1</v>
      </c>
      <c r="R350" s="523"/>
      <c r="S350" s="561">
        <f>SUMIF($H$341:$H$348,$H$343,S$341:S$348)</f>
        <v>2</v>
      </c>
      <c r="T350" s="561">
        <f t="shared" ref="T350:AA350" si="349">SUMIF($H$341:$H$348,$H$343,T$341:T$348)</f>
        <v>2</v>
      </c>
      <c r="U350" s="561">
        <f t="shared" si="349"/>
        <v>2</v>
      </c>
      <c r="V350" s="561">
        <f t="shared" si="349"/>
        <v>2</v>
      </c>
      <c r="W350" s="561">
        <f t="shared" si="349"/>
        <v>0</v>
      </c>
      <c r="X350" s="561">
        <f t="shared" si="349"/>
        <v>1</v>
      </c>
      <c r="Y350" s="561">
        <f t="shared" si="349"/>
        <v>2</v>
      </c>
      <c r="Z350" s="561">
        <f t="shared" si="349"/>
        <v>2</v>
      </c>
      <c r="AA350" s="561">
        <f t="shared" si="349"/>
        <v>0</v>
      </c>
      <c r="AB350" s="265"/>
      <c r="AC350" s="669"/>
      <c r="AD350" s="668"/>
      <c r="AE350" s="642">
        <f>SUMIF($H$341:$H$348,$H$343,AE$341:AE$348)</f>
        <v>1</v>
      </c>
      <c r="AF350" s="523"/>
      <c r="AG350" s="561">
        <f>SUMIF($H$341:$H$348,$H$343,AG$341:AG$348)</f>
        <v>2</v>
      </c>
      <c r="AH350" s="561">
        <f t="shared" ref="AH350:AO350" si="350">SUMIF($H$341:$H$348,$H$343,AH$341:AH$348)</f>
        <v>2</v>
      </c>
      <c r="AI350" s="561">
        <f t="shared" si="350"/>
        <v>2</v>
      </c>
      <c r="AJ350" s="561">
        <f t="shared" si="350"/>
        <v>2</v>
      </c>
      <c r="AK350" s="561">
        <f t="shared" si="350"/>
        <v>0</v>
      </c>
      <c r="AL350" s="561">
        <f t="shared" si="350"/>
        <v>0</v>
      </c>
      <c r="AM350" s="561">
        <f t="shared" si="350"/>
        <v>2</v>
      </c>
      <c r="AN350" s="561">
        <f t="shared" si="350"/>
        <v>2</v>
      </c>
      <c r="AO350" s="561">
        <f t="shared" si="350"/>
        <v>0</v>
      </c>
      <c r="AP350" s="265"/>
      <c r="AQ350" s="265"/>
      <c r="AR350" s="669"/>
      <c r="AS350" s="668"/>
      <c r="AT350" s="642">
        <f>SUMIF($H$341:$H$348,$H$343,AT$341:AT$348)</f>
        <v>1</v>
      </c>
      <c r="AU350" s="523"/>
      <c r="AV350" s="561">
        <f>SUMIF($H$341:$H$348,$H$343,AV$341:AV$348)</f>
        <v>2</v>
      </c>
      <c r="AW350" s="561">
        <f t="shared" ref="AW350:BD350" si="351">SUMIF($H$341:$H$348,$H$343,AW$341:AW$348)</f>
        <v>2</v>
      </c>
      <c r="AX350" s="561">
        <f t="shared" si="351"/>
        <v>2</v>
      </c>
      <c r="AY350" s="561">
        <f t="shared" si="351"/>
        <v>2</v>
      </c>
      <c r="AZ350" s="561">
        <f t="shared" si="351"/>
        <v>0</v>
      </c>
      <c r="BA350" s="561">
        <f t="shared" si="351"/>
        <v>1</v>
      </c>
      <c r="BB350" s="561">
        <f t="shared" si="351"/>
        <v>2</v>
      </c>
      <c r="BC350" s="561">
        <f t="shared" si="351"/>
        <v>2</v>
      </c>
      <c r="BD350" s="561">
        <f t="shared" si="351"/>
        <v>0</v>
      </c>
      <c r="BE350" s="265"/>
      <c r="BF350" s="669"/>
      <c r="BG350" s="668"/>
      <c r="BH350" s="642">
        <f>SUMIF($H$341:$H$348,$H$343,BH$341:BH$348)</f>
        <v>1</v>
      </c>
      <c r="BI350" s="523"/>
      <c r="BJ350" s="561">
        <f>SUMIF($H$341:$H$348,$H$343,BJ$341:BJ$348)</f>
        <v>2</v>
      </c>
      <c r="BK350" s="561">
        <f t="shared" ref="BK350:BR350" si="352">SUMIF($H$341:$H$348,$H$343,BK$341:BK$348)</f>
        <v>2</v>
      </c>
      <c r="BL350" s="561">
        <f t="shared" si="352"/>
        <v>2</v>
      </c>
      <c r="BM350" s="561">
        <f t="shared" si="352"/>
        <v>2</v>
      </c>
      <c r="BN350" s="561">
        <f t="shared" si="352"/>
        <v>0</v>
      </c>
      <c r="BO350" s="561">
        <f t="shared" si="352"/>
        <v>0</v>
      </c>
      <c r="BP350" s="561">
        <f t="shared" si="352"/>
        <v>2</v>
      </c>
      <c r="BQ350" s="561">
        <f t="shared" si="352"/>
        <v>2</v>
      </c>
      <c r="BR350" s="561">
        <f t="shared" si="352"/>
        <v>0</v>
      </c>
      <c r="BS350" s="265"/>
      <c r="BT350" s="267"/>
      <c r="BU350" s="267"/>
      <c r="BV350" s="267"/>
      <c r="BW350" s="267"/>
      <c r="BX350" s="267"/>
      <c r="BY350" s="267"/>
      <c r="BZ350" s="267"/>
      <c r="CA350" s="267"/>
      <c r="CB350" s="267"/>
    </row>
    <row r="351" spans="1:80" s="139" customFormat="1" ht="24" customHeight="1" outlineLevel="1" x14ac:dyDescent="0.2">
      <c r="A351" s="520"/>
      <c r="B351" s="521"/>
      <c r="C351" s="522"/>
      <c r="D351" s="523"/>
      <c r="E351" s="524"/>
      <c r="F351" s="440"/>
      <c r="G351" s="525"/>
      <c r="H351" s="523"/>
      <c r="I351" s="358"/>
      <c r="J351" s="424"/>
      <c r="K351" s="668"/>
      <c r="L351" s="668"/>
      <c r="M351" s="668"/>
      <c r="N351" s="523"/>
      <c r="O351" s="669"/>
      <c r="P351" s="523"/>
      <c r="Q351" s="523"/>
      <c r="R351" s="523"/>
      <c r="S351" s="527"/>
      <c r="T351" s="527"/>
      <c r="U351" s="527"/>
      <c r="V351" s="527"/>
      <c r="W351" s="527"/>
      <c r="X351" s="527"/>
      <c r="Y351" s="527"/>
      <c r="Z351" s="527"/>
      <c r="AA351" s="527"/>
      <c r="AB351" s="265"/>
      <c r="AC351" s="669"/>
      <c r="AD351" s="668"/>
      <c r="AE351" s="523"/>
      <c r="AF351" s="523"/>
      <c r="AG351" s="527"/>
      <c r="AH351" s="527"/>
      <c r="AI351" s="527"/>
      <c r="AJ351" s="527"/>
      <c r="AK351" s="527"/>
      <c r="AL351" s="527"/>
      <c r="AM351" s="527"/>
      <c r="AN351" s="527"/>
      <c r="AO351" s="527"/>
      <c r="AP351" s="265"/>
      <c r="AQ351" s="265"/>
      <c r="AR351" s="669"/>
      <c r="AS351" s="668"/>
      <c r="AT351" s="523"/>
      <c r="AU351" s="523"/>
      <c r="AV351" s="527"/>
      <c r="AW351" s="527"/>
      <c r="AX351" s="527"/>
      <c r="AY351" s="527"/>
      <c r="AZ351" s="527"/>
      <c r="BA351" s="527"/>
      <c r="BB351" s="527"/>
      <c r="BC351" s="527"/>
      <c r="BD351" s="527"/>
      <c r="BE351" s="265"/>
      <c r="BF351" s="669"/>
      <c r="BG351" s="668"/>
      <c r="BH351" s="523"/>
      <c r="BI351" s="523"/>
      <c r="BJ351" s="527"/>
      <c r="BK351" s="527"/>
      <c r="BL351" s="527"/>
      <c r="BM351" s="527"/>
      <c r="BN351" s="527"/>
      <c r="BO351" s="527"/>
      <c r="BP351" s="527"/>
      <c r="BQ351" s="527"/>
      <c r="BR351" s="527"/>
      <c r="BS351" s="265"/>
    </row>
    <row r="352" spans="1:80" ht="24" customHeight="1" outlineLevel="1" x14ac:dyDescent="0.2">
      <c r="A352" s="312"/>
      <c r="B352" s="437" t="s">
        <v>113</v>
      </c>
      <c r="C352" s="171" t="s">
        <v>165</v>
      </c>
      <c r="D352" s="473" t="s">
        <v>111</v>
      </c>
      <c r="E352" s="426" t="s">
        <v>142</v>
      </c>
      <c r="F352" s="473" t="s">
        <v>61</v>
      </c>
      <c r="G352" s="473" t="s">
        <v>50</v>
      </c>
      <c r="H352" s="657" t="s">
        <v>152</v>
      </c>
      <c r="I352" s="754" t="s">
        <v>156</v>
      </c>
      <c r="J352" s="453"/>
      <c r="K352" s="488"/>
      <c r="L352" s="488"/>
      <c r="M352" s="488"/>
      <c r="N352" s="488"/>
      <c r="O352" s="421"/>
      <c r="P352" s="488"/>
      <c r="Q352" s="374">
        <v>0.25</v>
      </c>
      <c r="R352" s="488"/>
      <c r="S352" s="419">
        <f>(1+Sensitivity_GP_BE_Comms)*(EMP_Complex_Sys_Effort*(1+PM_Overhead)*$Q352)</f>
        <v>88</v>
      </c>
      <c r="T352" s="419">
        <f>(1+Sensitivity_GP_BE_Comms)*(EMP_Complex_Sys_Effort*(1+PM_Overhead)*$Q352)*(1+Additional_VM_Effort)</f>
        <v>132</v>
      </c>
      <c r="U352" s="419">
        <f>(1+Sensitivity_GP_BE_Comms)*(EMP_Complex_Sys_Effort*(1+PM_Overhead)*$Q352)</f>
        <v>88</v>
      </c>
      <c r="V352" s="419">
        <f>(1+Sensitivity_GP_BE_Comms)*(EMP_Complex_Sys_Effort*(1+PM_Overhead)*$Q352)</f>
        <v>88</v>
      </c>
      <c r="W352" s="419">
        <f>(1+Sensitivity_GP_BE_Comms)*0</f>
        <v>0</v>
      </c>
      <c r="X352" s="419">
        <f>(1+Sensitivity_GP_BE_Comms)*(EMP_Complex_Sys_Effort*(1+PM_Overhead)*$Q352)</f>
        <v>88</v>
      </c>
      <c r="Y352" s="419">
        <v>0</v>
      </c>
      <c r="Z352" s="419">
        <f>(1+Sensitivity_GP_BE_Comms)*0</f>
        <v>0</v>
      </c>
      <c r="AA352" s="419">
        <f>Y352</f>
        <v>0</v>
      </c>
      <c r="AB352" s="264"/>
      <c r="AC352" s="421"/>
      <c r="AD352" s="488"/>
      <c r="AE352" s="374">
        <v>0.25</v>
      </c>
      <c r="AF352" s="487"/>
      <c r="AG352" s="410">
        <f>(1+Sensitivity_GP_BE_Comms)*(DCC_Complex_Sys_Effort*(1+PM_Overhead)*$AE352)</f>
        <v>105.87500000000001</v>
      </c>
      <c r="AH352" s="410">
        <f>(1+Sensitivity_GP_BE_Comms)*(DCC_Complex_Sys_Effort*(1+PM_Overhead)*$AE352)</f>
        <v>105.87500000000001</v>
      </c>
      <c r="AI352" s="410">
        <f>(1+Sensitivity_GP_BE_Comms)*(DCC_Complex_Sys_Effort*(1+PM_Overhead)*$AE352)</f>
        <v>105.87500000000001</v>
      </c>
      <c r="AJ352" s="410">
        <f>(1+Sensitivity_GP_BE_Comms)*(DCC_Complex_Sys_Effort*(1+PM_Overhead)*$AE352)</f>
        <v>105.87500000000001</v>
      </c>
      <c r="AK352" s="410">
        <f>(1+Sensitivity_GP_BE_Comms)*0</f>
        <v>0</v>
      </c>
      <c r="AL352" s="410">
        <f>(1+Sensitivity_GP_BE_Comms)*0</f>
        <v>0</v>
      </c>
      <c r="AM352" s="410">
        <f>(1+Sensitivity_GP_BE_Comms)*(DCC_Complex_Sys_Effort*(1+PM_Overhead)*$AE352)*TierC_TierB_ratio</f>
        <v>52.937500000000007</v>
      </c>
      <c r="AN352" s="410">
        <f>(1+Sensitivity_GP_BE_Comms)*0</f>
        <v>0</v>
      </c>
      <c r="AO352" s="410">
        <f>AM352</f>
        <v>52.937500000000007</v>
      </c>
      <c r="AP352" s="264"/>
      <c r="AQ352" s="264"/>
      <c r="AR352" s="421"/>
      <c r="AS352" s="488"/>
      <c r="AT352" s="374">
        <v>0.25</v>
      </c>
      <c r="AU352" s="488"/>
      <c r="AV352" s="419">
        <f>(1+Sensitivity_GP_BE_Comms)*(EMP_Complex_Sys_Effort*(1+PM_Overhead)*$Q352)</f>
        <v>88</v>
      </c>
      <c r="AW352" s="419">
        <f>(1+Sensitivity_GP_BE_Comms)*(EMP_Complex_Sys_Effort*(1+PM_Overhead)*$Q352)*(1+Additional_VM_Effort)</f>
        <v>132</v>
      </c>
      <c r="AX352" s="419">
        <f>(1+Sensitivity_GP_BE_Comms)*(EMP_Complex_Sys_Effort*(1+PM_Overhead)*$Q352)</f>
        <v>88</v>
      </c>
      <c r="AY352" s="419">
        <f>(1+Sensitivity_GP_BE_Comms)*(EMP_Complex_Sys_Effort*(1+PM_Overhead)*$Q352)</f>
        <v>88</v>
      </c>
      <c r="AZ352" s="419">
        <f>(1+Sensitivity_GP_BE_Comms)*0</f>
        <v>0</v>
      </c>
      <c r="BA352" s="419">
        <f>(1+Sensitivity_GP_BE_Comms)*(EMP_Complex_Sys_Effort*(1+PM_Overhead)*$Q352)</f>
        <v>88</v>
      </c>
      <c r="BB352" s="419">
        <v>0</v>
      </c>
      <c r="BC352" s="419">
        <f>(1+Sensitivity_GP_BE_Comms)*0</f>
        <v>0</v>
      </c>
      <c r="BD352" s="419">
        <f>BB352</f>
        <v>0</v>
      </c>
      <c r="BE352" s="264"/>
      <c r="BF352" s="421"/>
      <c r="BG352" s="488"/>
      <c r="BH352" s="374">
        <v>0.25</v>
      </c>
      <c r="BI352" s="487"/>
      <c r="BJ352" s="410">
        <f>(1+Sensitivity_GP_BE_Comms)*(DCC_Complex_Sys_Effort*(1+PM_Overhead)*$AE352)</f>
        <v>105.87500000000001</v>
      </c>
      <c r="BK352" s="410">
        <f>(1+Sensitivity_GP_BE_Comms)*(DCC_Complex_Sys_Effort*(1+PM_Overhead)*$AE352)</f>
        <v>105.87500000000001</v>
      </c>
      <c r="BL352" s="410">
        <f>(1+Sensitivity_GP_BE_Comms)*(DCC_Complex_Sys_Effort*(1+PM_Overhead)*$AE352)</f>
        <v>105.87500000000001</v>
      </c>
      <c r="BM352" s="410">
        <f>(1+Sensitivity_GP_BE_Comms)*(DCC_Complex_Sys_Effort*(1+PM_Overhead)*$AE352)</f>
        <v>105.87500000000001</v>
      </c>
      <c r="BN352" s="410">
        <f>(1+Sensitivity_GP_BE_Comms)*0</f>
        <v>0</v>
      </c>
      <c r="BO352" s="410">
        <f>(1+Sensitivity_GP_BE_Comms)*0</f>
        <v>0</v>
      </c>
      <c r="BP352" s="410">
        <f>(1+Sensitivity_GP_BE_Comms)*(DCC_Complex_Sys_Effort*(1+PM_Overhead)*$AE352)*TierC_TierB_ratio</f>
        <v>52.937500000000007</v>
      </c>
      <c r="BQ352" s="410">
        <f>(1+Sensitivity_GP_BE_Comms)*0</f>
        <v>0</v>
      </c>
      <c r="BR352" s="410">
        <f>BP352</f>
        <v>52.937500000000007</v>
      </c>
      <c r="BS352" s="263"/>
      <c r="BT352" s="267"/>
      <c r="BU352" s="267"/>
      <c r="BV352" s="267"/>
      <c r="BW352" s="267"/>
      <c r="BX352" s="267"/>
      <c r="BY352" s="267"/>
      <c r="BZ352" s="267"/>
      <c r="CA352" s="267"/>
      <c r="CB352" s="267"/>
    </row>
    <row r="353" spans="1:80" ht="24" customHeight="1" outlineLevel="1" x14ac:dyDescent="0.2">
      <c r="A353" s="312"/>
      <c r="B353" s="437" t="s">
        <v>113</v>
      </c>
      <c r="C353" s="171" t="s">
        <v>165</v>
      </c>
      <c r="D353" s="473" t="s">
        <v>111</v>
      </c>
      <c r="E353" s="426" t="s">
        <v>142</v>
      </c>
      <c r="F353" s="473" t="s">
        <v>30</v>
      </c>
      <c r="G353" s="473" t="s">
        <v>50</v>
      </c>
      <c r="H353" s="657" t="s">
        <v>119</v>
      </c>
      <c r="I353" s="754"/>
      <c r="J353" s="453"/>
      <c r="K353" s="488"/>
      <c r="L353" s="488"/>
      <c r="M353" s="488"/>
      <c r="N353" s="488"/>
      <c r="O353" s="421"/>
      <c r="P353" s="488"/>
      <c r="Q353" s="374">
        <v>0</v>
      </c>
      <c r="R353" s="488"/>
      <c r="S353" s="419">
        <f>(1+Sensitivity_GP_BE_Comms)*0</f>
        <v>0</v>
      </c>
      <c r="T353" s="419">
        <f>(1+Sensitivity_GP_BE_Comms)*0</f>
        <v>0</v>
      </c>
      <c r="U353" s="419">
        <f>(1+Sensitivity_GP_BE_Comms)*0</f>
        <v>0</v>
      </c>
      <c r="V353" s="419">
        <f>(1+Sensitivity_GP_BE_Comms)*0</f>
        <v>0</v>
      </c>
      <c r="W353" s="419">
        <f>(1+Sensitivity_GP_BE_Comms)*0</f>
        <v>0</v>
      </c>
      <c r="X353" s="419">
        <f>(1+Sensitivity_GP_BE_Comms)*0</f>
        <v>0</v>
      </c>
      <c r="Y353" s="419">
        <f>(1+Sensitivity_GP_BE_Comms)*0</f>
        <v>0</v>
      </c>
      <c r="Z353" s="419">
        <f>(1+Sensitivity_GP_BE_Comms)*0</f>
        <v>0</v>
      </c>
      <c r="AA353" s="419">
        <f>(1+Sensitivity_GP_BE_Comms)*0</f>
        <v>0</v>
      </c>
      <c r="AB353" s="264"/>
      <c r="AC353" s="421" t="s">
        <v>233</v>
      </c>
      <c r="AD353" s="488"/>
      <c r="AE353" s="374">
        <v>0</v>
      </c>
      <c r="AF353" s="487"/>
      <c r="AG353" s="419">
        <f>(1+Sensitivity_GP_BE_Comms)*hw_interface_costs*$AE353</f>
        <v>0</v>
      </c>
      <c r="AH353" s="419">
        <f>(1+Sensitivity_GP_BE_Comms)*hw_interface_costs*$AE353</f>
        <v>0</v>
      </c>
      <c r="AI353" s="419">
        <f>(1+Sensitivity_GP_BE_Comms)*hw_interface_costs*$AE353</f>
        <v>0</v>
      </c>
      <c r="AJ353" s="419">
        <f>(1+Sensitivity_GP_BE_Comms)*hw_interface_costs*$AE353</f>
        <v>0</v>
      </c>
      <c r="AK353" s="419">
        <f>(1+Sensitivity_GP_BE_Comms)*0</f>
        <v>0</v>
      </c>
      <c r="AL353" s="419">
        <f>(1+Sensitivity_GP_BE_Comms)*0</f>
        <v>0</v>
      </c>
      <c r="AM353" s="419">
        <f>AJ353*TierC_TierB_ratio</f>
        <v>0</v>
      </c>
      <c r="AN353" s="419">
        <f>(1+Sensitivity_GP_BE_Comms)*0</f>
        <v>0</v>
      </c>
      <c r="AO353" s="419">
        <f>AM353</f>
        <v>0</v>
      </c>
      <c r="AP353" s="264"/>
      <c r="AQ353" s="264"/>
      <c r="AR353" s="421"/>
      <c r="AS353" s="488"/>
      <c r="AT353" s="488"/>
      <c r="AU353" s="488"/>
      <c r="AV353" s="419">
        <f>(1+Sensitivity_GP_BE_Comms)*0</f>
        <v>0</v>
      </c>
      <c r="AW353" s="419">
        <f>(1+Sensitivity_GP_BE_Comms)*0</f>
        <v>0</v>
      </c>
      <c r="AX353" s="419">
        <f>(1+Sensitivity_GP_BE_Comms)*0</f>
        <v>0</v>
      </c>
      <c r="AY353" s="419">
        <f>(1+Sensitivity_GP_BE_Comms)*0</f>
        <v>0</v>
      </c>
      <c r="AZ353" s="419">
        <f>(1+Sensitivity_GP_BE_Comms)*0</f>
        <v>0</v>
      </c>
      <c r="BA353" s="419">
        <f>(1+Sensitivity_GP_BE_Comms)*0</f>
        <v>0</v>
      </c>
      <c r="BB353" s="419">
        <f>(1+Sensitivity_GP_BE_Comms)*0</f>
        <v>0</v>
      </c>
      <c r="BC353" s="419">
        <f>(1+Sensitivity_GP_BE_Comms)*0</f>
        <v>0</v>
      </c>
      <c r="BD353" s="419">
        <f>(1+Sensitivity_GP_BE_Comms)*0</f>
        <v>0</v>
      </c>
      <c r="BE353" s="264"/>
      <c r="BF353" s="421" t="s">
        <v>233</v>
      </c>
      <c r="BG353" s="488"/>
      <c r="BH353" s="374">
        <v>0</v>
      </c>
      <c r="BI353" s="487"/>
      <c r="BJ353" s="419">
        <f>(1+Sensitivity_GP_BE_Comms)*hw_interface_costs*$AE353</f>
        <v>0</v>
      </c>
      <c r="BK353" s="419">
        <f>(1+Sensitivity_GP_BE_Comms)*hw_interface_costs*$AE353</f>
        <v>0</v>
      </c>
      <c r="BL353" s="419">
        <f>(1+Sensitivity_GP_BE_Comms)*hw_interface_costs*$AE353</f>
        <v>0</v>
      </c>
      <c r="BM353" s="419">
        <f>(1+Sensitivity_GP_BE_Comms)*hw_interface_costs*$AE353</f>
        <v>0</v>
      </c>
      <c r="BN353" s="419">
        <f>(1+Sensitivity_GP_BE_Comms)*0</f>
        <v>0</v>
      </c>
      <c r="BO353" s="419">
        <f>(1+Sensitivity_GP_BE_Comms)*0</f>
        <v>0</v>
      </c>
      <c r="BP353" s="419">
        <f>BM353*TierC_TierB_ratio</f>
        <v>0</v>
      </c>
      <c r="BQ353" s="419">
        <f>(1+Sensitivity_GP_BE_Comms)*0</f>
        <v>0</v>
      </c>
      <c r="BR353" s="419">
        <f>BP353</f>
        <v>0</v>
      </c>
      <c r="BS353" s="263"/>
      <c r="BT353" s="267"/>
      <c r="BU353" s="267"/>
      <c r="BV353" s="267"/>
      <c r="BW353" s="267"/>
      <c r="BX353" s="267"/>
      <c r="BY353" s="267"/>
      <c r="BZ353" s="267"/>
      <c r="CA353" s="267"/>
      <c r="CB353" s="267"/>
    </row>
    <row r="354" spans="1:80" ht="24" customHeight="1" outlineLevel="1" x14ac:dyDescent="0.2">
      <c r="A354" s="312"/>
      <c r="B354" s="437" t="s">
        <v>113</v>
      </c>
      <c r="C354" s="171" t="s">
        <v>165</v>
      </c>
      <c r="D354" s="473" t="s">
        <v>111</v>
      </c>
      <c r="E354" s="426" t="s">
        <v>142</v>
      </c>
      <c r="F354" s="473" t="s">
        <v>49</v>
      </c>
      <c r="G354" s="473" t="s">
        <v>47</v>
      </c>
      <c r="H354" s="657" t="s">
        <v>120</v>
      </c>
      <c r="I354" s="754"/>
      <c r="J354" s="453"/>
      <c r="K354" s="488"/>
      <c r="L354" s="488"/>
      <c r="M354" s="488"/>
      <c r="N354" s="488"/>
      <c r="O354" s="421"/>
      <c r="P354" s="488"/>
      <c r="Q354" s="488"/>
      <c r="R354" s="488"/>
      <c r="S354" s="374">
        <v>0.2</v>
      </c>
      <c r="T354" s="374">
        <v>0.2</v>
      </c>
      <c r="U354" s="374">
        <v>0.2</v>
      </c>
      <c r="V354" s="374">
        <v>0.2</v>
      </c>
      <c r="W354" s="374">
        <v>0.2</v>
      </c>
      <c r="X354" s="374">
        <v>0.2</v>
      </c>
      <c r="Y354" s="374">
        <v>0.2</v>
      </c>
      <c r="Z354" s="374">
        <v>0.2</v>
      </c>
      <c r="AA354" s="374">
        <v>0.2</v>
      </c>
      <c r="AB354" s="264"/>
      <c r="AC354" s="421"/>
      <c r="AD354" s="488"/>
      <c r="AE354" s="488"/>
      <c r="AF354" s="487"/>
      <c r="AG354" s="374">
        <v>0.2</v>
      </c>
      <c r="AH354" s="374">
        <v>0.2</v>
      </c>
      <c r="AI354" s="374">
        <f t="shared" ref="AI354" si="353">AG354</f>
        <v>0.2</v>
      </c>
      <c r="AJ354" s="374">
        <v>0.2</v>
      </c>
      <c r="AK354" s="374">
        <v>0.2</v>
      </c>
      <c r="AL354" s="374">
        <v>0.2</v>
      </c>
      <c r="AM354" s="374">
        <v>0.2</v>
      </c>
      <c r="AN354" s="374">
        <v>0.2</v>
      </c>
      <c r="AO354" s="374">
        <v>0.2</v>
      </c>
      <c r="AP354" s="264"/>
      <c r="AQ354" s="264"/>
      <c r="AR354" s="421"/>
      <c r="AS354" s="488"/>
      <c r="AT354" s="488"/>
      <c r="AU354" s="488"/>
      <c r="AV354" s="374">
        <v>0.2</v>
      </c>
      <c r="AW354" s="374">
        <v>0.2</v>
      </c>
      <c r="AX354" s="374">
        <v>0.2</v>
      </c>
      <c r="AY354" s="374">
        <v>0.2</v>
      </c>
      <c r="AZ354" s="374">
        <v>0.2</v>
      </c>
      <c r="BA354" s="374">
        <v>0.2</v>
      </c>
      <c r="BB354" s="374">
        <v>0.2</v>
      </c>
      <c r="BC354" s="374">
        <v>0.2</v>
      </c>
      <c r="BD354" s="374">
        <v>0.2</v>
      </c>
      <c r="BE354" s="264"/>
      <c r="BF354" s="421"/>
      <c r="BG354" s="488"/>
      <c r="BH354" s="488"/>
      <c r="BI354" s="487"/>
      <c r="BJ354" s="374">
        <v>0.2</v>
      </c>
      <c r="BK354" s="374">
        <v>0.2</v>
      </c>
      <c r="BL354" s="374">
        <f t="shared" ref="BL354" si="354">BJ354</f>
        <v>0.2</v>
      </c>
      <c r="BM354" s="374">
        <v>0.2</v>
      </c>
      <c r="BN354" s="374">
        <v>0.2</v>
      </c>
      <c r="BO354" s="374">
        <v>0.2</v>
      </c>
      <c r="BP354" s="374">
        <v>0.2</v>
      </c>
      <c r="BQ354" s="374">
        <v>0.2</v>
      </c>
      <c r="BR354" s="374">
        <v>0.2</v>
      </c>
      <c r="BS354" s="263"/>
      <c r="BT354" s="267"/>
      <c r="BU354" s="267"/>
      <c r="BV354" s="267"/>
      <c r="BW354" s="267"/>
      <c r="BX354" s="267"/>
      <c r="BY354" s="267"/>
      <c r="BZ354" s="267"/>
      <c r="CA354" s="267"/>
      <c r="CB354" s="267"/>
    </row>
    <row r="355" spans="1:80" ht="24" customHeight="1" outlineLevel="1" x14ac:dyDescent="0.2">
      <c r="A355" s="312"/>
      <c r="B355" s="546" t="s">
        <v>113</v>
      </c>
      <c r="C355" s="547" t="s">
        <v>165</v>
      </c>
      <c r="D355" s="515" t="s">
        <v>111</v>
      </c>
      <c r="E355" s="413" t="s">
        <v>143</v>
      </c>
      <c r="F355" s="515" t="s">
        <v>61</v>
      </c>
      <c r="G355" s="515" t="s">
        <v>50</v>
      </c>
      <c r="H355" s="670" t="s">
        <v>152</v>
      </c>
      <c r="I355" s="755" t="s">
        <v>246</v>
      </c>
      <c r="J355" s="453"/>
      <c r="K355" s="467"/>
      <c r="L355" s="467"/>
      <c r="M355" s="467"/>
      <c r="N355" s="488"/>
      <c r="O355" s="415"/>
      <c r="P355" s="488"/>
      <c r="Q355" s="374">
        <v>0.25</v>
      </c>
      <c r="R355" s="488"/>
      <c r="S355" s="419">
        <f>(1+Sensitivity_GP_BE_Comms)*(EMP_Complex_Sys_Effort*(1+PM_Overhead)*$Q355)</f>
        <v>88</v>
      </c>
      <c r="T355" s="419">
        <f>(1+Sensitivity_GP_BE_Comms)*(EMP_Complex_Sys_Effort*(1+PM_Overhead)*$Q355)*(1+Additional_VM_Effort)</f>
        <v>132</v>
      </c>
      <c r="U355" s="419">
        <f>(1+Sensitivity_GP_BE_Comms)*(EMP_Complex_Sys_Effort*(1+PM_Overhead)*$Q355)</f>
        <v>88</v>
      </c>
      <c r="V355" s="419">
        <f>(1+Sensitivity_GP_BE_Comms)*(EMP_Complex_Sys_Effort*(1+PM_Overhead)*$Q355)</f>
        <v>88</v>
      </c>
      <c r="W355" s="419">
        <v>0</v>
      </c>
      <c r="X355" s="419">
        <f>(1+Sensitivity_GP_BE_Comms)*(EMP_Complex_Sys_Effort*(1+PM_Overhead)*$Q355)</f>
        <v>88</v>
      </c>
      <c r="Y355" s="419">
        <f>(1+Sensitivity_GP_BE_Comms)*(EMP_Complex_Sys_Effort*(1+PM_Overhead)*$Q355)*TierC_TierB_ratio</f>
        <v>44</v>
      </c>
      <c r="Z355" s="419">
        <f>(1+Sensitivity_GP_BE_Comms)*0</f>
        <v>0</v>
      </c>
      <c r="AA355" s="419">
        <f>Y355</f>
        <v>44</v>
      </c>
      <c r="AB355" s="264"/>
      <c r="AC355" s="529"/>
      <c r="AD355" s="467"/>
      <c r="AE355" s="374">
        <v>0.25</v>
      </c>
      <c r="AF355" s="487"/>
      <c r="AG355" s="410">
        <f>(1+Sensitivity_GP_BE_Comms)*(DCC_Complex_Sys_Effort*(1+PM_Overhead)*$AE355)</f>
        <v>105.87500000000001</v>
      </c>
      <c r="AH355" s="410">
        <f>(1+Sensitivity_GP_BE_Comms)*(DCC_Complex_Sys_Effort*(1+PM_Overhead)*$AE355)</f>
        <v>105.87500000000001</v>
      </c>
      <c r="AI355" s="410">
        <f>(1+Sensitivity_GP_BE_Comms)*(DCC_Complex_Sys_Effort*(1+PM_Overhead)*$AE355)</f>
        <v>105.87500000000001</v>
      </c>
      <c r="AJ355" s="410">
        <f>(1+Sensitivity_GP_BE_Comms)*(DCC_Complex_Sys_Effort*(1+PM_Overhead)*$AE355)</f>
        <v>105.87500000000001</v>
      </c>
      <c r="AK355" s="410">
        <f>(1+Sensitivity_GP_BE_Comms)*0</f>
        <v>0</v>
      </c>
      <c r="AL355" s="410">
        <f>(1+Sensitivity_GP_BE_Comms)*0</f>
        <v>0</v>
      </c>
      <c r="AM355" s="410">
        <f>(1+Sensitivity_GP_BE_Comms)*(DCC_Complex_Sys_Effort*(1+PM_Overhead)*$AE355)*TierC_TierB_ratio</f>
        <v>52.937500000000007</v>
      </c>
      <c r="AN355" s="410">
        <f>(1+Sensitivity_GP_BE_Comms)*0</f>
        <v>0</v>
      </c>
      <c r="AO355" s="410">
        <f>AM355</f>
        <v>52.937500000000007</v>
      </c>
      <c r="AP355" s="264"/>
      <c r="AQ355" s="264"/>
      <c r="AR355" s="415"/>
      <c r="AS355" s="467"/>
      <c r="AT355" s="374">
        <v>0.25</v>
      </c>
      <c r="AU355" s="488"/>
      <c r="AV355" s="419">
        <f>(1+Sensitivity_GP_BE_Comms)*(EMP_Complex_Sys_Effort*(1+PM_Overhead)*$Q355)</f>
        <v>88</v>
      </c>
      <c r="AW355" s="419">
        <f>(1+Sensitivity_GP_BE_Comms)*(EMP_Complex_Sys_Effort*(1+PM_Overhead)*$Q355)*(1+Additional_VM_Effort)</f>
        <v>132</v>
      </c>
      <c r="AX355" s="419">
        <f>(1+Sensitivity_GP_BE_Comms)*(EMP_Complex_Sys_Effort*(1+PM_Overhead)*$Q355)</f>
        <v>88</v>
      </c>
      <c r="AY355" s="419">
        <f>(1+Sensitivity_GP_BE_Comms)*(EMP_Complex_Sys_Effort*(1+PM_Overhead)*$Q355)</f>
        <v>88</v>
      </c>
      <c r="AZ355" s="419">
        <v>0</v>
      </c>
      <c r="BA355" s="419">
        <f>(1+Sensitivity_GP_BE_Comms)*(EMP_Complex_Sys_Effort*(1+PM_Overhead)*$Q355)</f>
        <v>88</v>
      </c>
      <c r="BB355" s="419">
        <f>(1+Sensitivity_GP_BE_Comms)*(EMP_Complex_Sys_Effort*(1+PM_Overhead)*$Q355)*TierC_TierB_ratio</f>
        <v>44</v>
      </c>
      <c r="BC355" s="419">
        <f>(1+Sensitivity_GP_BE_Comms)*0</f>
        <v>0</v>
      </c>
      <c r="BD355" s="419">
        <f>BB355</f>
        <v>44</v>
      </c>
      <c r="BE355" s="264"/>
      <c r="BF355" s="529"/>
      <c r="BG355" s="467"/>
      <c r="BH355" s="374">
        <v>0.25</v>
      </c>
      <c r="BI355" s="487"/>
      <c r="BJ355" s="410">
        <f>(1+Sensitivity_GP_BE_Comms)*(DCC_Complex_Sys_Effort*(1+PM_Overhead)*$AE355)</f>
        <v>105.87500000000001</v>
      </c>
      <c r="BK355" s="410">
        <f>(1+Sensitivity_GP_BE_Comms)*(DCC_Complex_Sys_Effort*(1+PM_Overhead)*$AE355)</f>
        <v>105.87500000000001</v>
      </c>
      <c r="BL355" s="410">
        <f>(1+Sensitivity_GP_BE_Comms)*(DCC_Complex_Sys_Effort*(1+PM_Overhead)*$AE355)</f>
        <v>105.87500000000001</v>
      </c>
      <c r="BM355" s="410">
        <f>(1+Sensitivity_GP_BE_Comms)*(DCC_Complex_Sys_Effort*(1+PM_Overhead)*$AE355)</f>
        <v>105.87500000000001</v>
      </c>
      <c r="BN355" s="410">
        <f>(1+Sensitivity_GP_BE_Comms)*0</f>
        <v>0</v>
      </c>
      <c r="BO355" s="410">
        <f>(1+Sensitivity_GP_BE_Comms)*0</f>
        <v>0</v>
      </c>
      <c r="BP355" s="410">
        <f>(1+Sensitivity_GP_BE_Comms)*(DCC_Complex_Sys_Effort*(1+PM_Overhead)*$AE355)*TierC_TierB_ratio</f>
        <v>52.937500000000007</v>
      </c>
      <c r="BQ355" s="410">
        <f>(1+Sensitivity_GP_BE_Comms)*0</f>
        <v>0</v>
      </c>
      <c r="BR355" s="410">
        <f>BP355</f>
        <v>52.937500000000007</v>
      </c>
      <c r="BS355" s="263"/>
      <c r="BT355" s="267"/>
      <c r="BU355" s="267"/>
      <c r="BV355" s="267"/>
      <c r="BW355" s="267"/>
      <c r="BX355" s="267"/>
      <c r="BY355" s="267"/>
      <c r="BZ355" s="267"/>
      <c r="CA355" s="267"/>
      <c r="CB355" s="267"/>
    </row>
    <row r="356" spans="1:80" ht="24" customHeight="1" outlineLevel="1" x14ac:dyDescent="0.2">
      <c r="A356" s="312"/>
      <c r="B356" s="546" t="s">
        <v>113</v>
      </c>
      <c r="C356" s="547" t="s">
        <v>165</v>
      </c>
      <c r="D356" s="515" t="s">
        <v>111</v>
      </c>
      <c r="E356" s="413" t="s">
        <v>143</v>
      </c>
      <c r="F356" s="515" t="s">
        <v>30</v>
      </c>
      <c r="G356" s="651" t="s">
        <v>50</v>
      </c>
      <c r="H356" s="670" t="s">
        <v>119</v>
      </c>
      <c r="I356" s="755"/>
      <c r="J356" s="453"/>
      <c r="K356" s="467"/>
      <c r="L356" s="467"/>
      <c r="M356" s="467"/>
      <c r="N356" s="488"/>
      <c r="O356" s="415"/>
      <c r="P356" s="488"/>
      <c r="Q356" s="374">
        <v>0</v>
      </c>
      <c r="R356" s="488"/>
      <c r="S356" s="419">
        <f t="shared" ref="S356:Y356" si="355">(1+Sensitivity_GP_BE_Comms)*0</f>
        <v>0</v>
      </c>
      <c r="T356" s="419">
        <f t="shared" si="355"/>
        <v>0</v>
      </c>
      <c r="U356" s="419">
        <f t="shared" si="355"/>
        <v>0</v>
      </c>
      <c r="V356" s="419">
        <f t="shared" si="355"/>
        <v>0</v>
      </c>
      <c r="W356" s="419">
        <f t="shared" si="355"/>
        <v>0</v>
      </c>
      <c r="X356" s="419">
        <f t="shared" si="355"/>
        <v>0</v>
      </c>
      <c r="Y356" s="419">
        <f t="shared" si="355"/>
        <v>0</v>
      </c>
      <c r="Z356" s="419">
        <f>(1+Sensitivity_GP_BE_Comms)*0</f>
        <v>0</v>
      </c>
      <c r="AA356" s="419">
        <f>(1+Sensitivity_GP_BE_Comms)*0</f>
        <v>0</v>
      </c>
      <c r="AB356" s="264"/>
      <c r="AC356" s="529" t="s">
        <v>233</v>
      </c>
      <c r="AD356" s="467"/>
      <c r="AE356" s="374">
        <v>0</v>
      </c>
      <c r="AF356" s="487"/>
      <c r="AG356" s="419">
        <f>(1+Sensitivity_GP_BE_Comms)*hw_interface_costs*$AE356</f>
        <v>0</v>
      </c>
      <c r="AH356" s="419">
        <f>(1+Sensitivity_GP_BE_Comms)*hw_interface_costs*$AE356</f>
        <v>0</v>
      </c>
      <c r="AI356" s="419">
        <f>(1+Sensitivity_GP_BE_Comms)*hw_interface_costs*$AE356</f>
        <v>0</v>
      </c>
      <c r="AJ356" s="419">
        <f>(1+Sensitivity_GP_BE_Comms)*hw_interface_costs*$AE356</f>
        <v>0</v>
      </c>
      <c r="AK356" s="419">
        <f>(1+Sensitivity_GP_BE_Comms)*0</f>
        <v>0</v>
      </c>
      <c r="AL356" s="419">
        <f>(1+Sensitivity_GP_BE_Comms)*0</f>
        <v>0</v>
      </c>
      <c r="AM356" s="419">
        <f>AJ356*TierC_TierB_ratio</f>
        <v>0</v>
      </c>
      <c r="AN356" s="419">
        <f>(1+Sensitivity_GP_BE_Comms)*0</f>
        <v>0</v>
      </c>
      <c r="AO356" s="419">
        <f>AM356</f>
        <v>0</v>
      </c>
      <c r="AP356" s="264"/>
      <c r="AQ356" s="264"/>
      <c r="AR356" s="415"/>
      <c r="AS356" s="467"/>
      <c r="AT356" s="488"/>
      <c r="AU356" s="488"/>
      <c r="AV356" s="419">
        <f t="shared" ref="AV356:BB356" si="356">(1+Sensitivity_GP_BE_Comms)*0</f>
        <v>0</v>
      </c>
      <c r="AW356" s="419">
        <f t="shared" si="356"/>
        <v>0</v>
      </c>
      <c r="AX356" s="419">
        <f t="shared" si="356"/>
        <v>0</v>
      </c>
      <c r="AY356" s="419">
        <f t="shared" si="356"/>
        <v>0</v>
      </c>
      <c r="AZ356" s="419">
        <f t="shared" si="356"/>
        <v>0</v>
      </c>
      <c r="BA356" s="419">
        <f t="shared" si="356"/>
        <v>0</v>
      </c>
      <c r="BB356" s="419">
        <f t="shared" si="356"/>
        <v>0</v>
      </c>
      <c r="BC356" s="419">
        <f>(1+Sensitivity_GP_BE_Comms)*0</f>
        <v>0</v>
      </c>
      <c r="BD356" s="419">
        <f>(1+Sensitivity_GP_BE_Comms)*0</f>
        <v>0</v>
      </c>
      <c r="BE356" s="264"/>
      <c r="BF356" s="529" t="s">
        <v>233</v>
      </c>
      <c r="BG356" s="467"/>
      <c r="BH356" s="374">
        <v>0</v>
      </c>
      <c r="BI356" s="487"/>
      <c r="BJ356" s="419">
        <f>(1+Sensitivity_GP_BE_Comms)*hw_interface_costs*$AE356</f>
        <v>0</v>
      </c>
      <c r="BK356" s="419">
        <f>(1+Sensitivity_GP_BE_Comms)*hw_interface_costs*$AE356</f>
        <v>0</v>
      </c>
      <c r="BL356" s="419">
        <f>(1+Sensitivity_GP_BE_Comms)*hw_interface_costs*$AE356</f>
        <v>0</v>
      </c>
      <c r="BM356" s="419">
        <f>(1+Sensitivity_GP_BE_Comms)*hw_interface_costs*$AE356</f>
        <v>0</v>
      </c>
      <c r="BN356" s="419">
        <f>(1+Sensitivity_GP_BE_Comms)*0</f>
        <v>0</v>
      </c>
      <c r="BO356" s="419">
        <f>(1+Sensitivity_GP_BE_Comms)*0</f>
        <v>0</v>
      </c>
      <c r="BP356" s="419">
        <f>BM356*TierC_TierB_ratio</f>
        <v>0</v>
      </c>
      <c r="BQ356" s="419">
        <f>(1+Sensitivity_GP_BE_Comms)*0</f>
        <v>0</v>
      </c>
      <c r="BR356" s="419">
        <f>BP356</f>
        <v>0</v>
      </c>
      <c r="BS356" s="263"/>
      <c r="BT356" s="267"/>
      <c r="BU356" s="267"/>
      <c r="BV356" s="267"/>
      <c r="BW356" s="267"/>
      <c r="BX356" s="267"/>
      <c r="BY356" s="267"/>
      <c r="BZ356" s="267"/>
      <c r="CA356" s="267"/>
      <c r="CB356" s="267"/>
    </row>
    <row r="357" spans="1:80" ht="24" customHeight="1" outlineLevel="1" x14ac:dyDescent="0.2">
      <c r="A357" s="312"/>
      <c r="B357" s="546" t="s">
        <v>113</v>
      </c>
      <c r="C357" s="547" t="s">
        <v>165</v>
      </c>
      <c r="D357" s="515" t="s">
        <v>111</v>
      </c>
      <c r="E357" s="413" t="s">
        <v>143</v>
      </c>
      <c r="F357" s="651" t="s">
        <v>49</v>
      </c>
      <c r="G357" s="651" t="s">
        <v>47</v>
      </c>
      <c r="H357" s="670" t="s">
        <v>120</v>
      </c>
      <c r="I357" s="755"/>
      <c r="J357" s="453"/>
      <c r="K357" s="467"/>
      <c r="L357" s="467"/>
      <c r="M357" s="467"/>
      <c r="N357" s="488"/>
      <c r="O357" s="415"/>
      <c r="P357" s="488"/>
      <c r="Q357" s="488"/>
      <c r="R357" s="488"/>
      <c r="S357" s="374">
        <v>0.2</v>
      </c>
      <c r="T357" s="374">
        <v>0.2</v>
      </c>
      <c r="U357" s="374">
        <v>0.2</v>
      </c>
      <c r="V357" s="374">
        <v>0.2</v>
      </c>
      <c r="W357" s="374">
        <v>0.2</v>
      </c>
      <c r="X357" s="374">
        <v>0.2</v>
      </c>
      <c r="Y357" s="374">
        <v>0.2</v>
      </c>
      <c r="Z357" s="374">
        <v>0.2</v>
      </c>
      <c r="AA357" s="374">
        <v>0.2</v>
      </c>
      <c r="AB357" s="264"/>
      <c r="AC357" s="529"/>
      <c r="AD357" s="467"/>
      <c r="AE357" s="488"/>
      <c r="AF357" s="487"/>
      <c r="AG357" s="374">
        <v>0.2</v>
      </c>
      <c r="AH357" s="374">
        <v>0.2</v>
      </c>
      <c r="AI357" s="374">
        <f t="shared" ref="AI357" si="357">AG357</f>
        <v>0.2</v>
      </c>
      <c r="AJ357" s="374">
        <v>0.2</v>
      </c>
      <c r="AK357" s="374">
        <v>0.2</v>
      </c>
      <c r="AL357" s="374">
        <v>0.2</v>
      </c>
      <c r="AM357" s="374">
        <v>0.2</v>
      </c>
      <c r="AN357" s="374">
        <v>0.2</v>
      </c>
      <c r="AO357" s="374">
        <v>0.2</v>
      </c>
      <c r="AP357" s="264"/>
      <c r="AQ357" s="264"/>
      <c r="AR357" s="415"/>
      <c r="AS357" s="467"/>
      <c r="AT357" s="488"/>
      <c r="AU357" s="488"/>
      <c r="AV357" s="374">
        <v>0.2</v>
      </c>
      <c r="AW357" s="374">
        <v>0.2</v>
      </c>
      <c r="AX357" s="374">
        <v>0.2</v>
      </c>
      <c r="AY357" s="374">
        <v>0.2</v>
      </c>
      <c r="AZ357" s="374">
        <v>0.2</v>
      </c>
      <c r="BA357" s="374">
        <v>0.2</v>
      </c>
      <c r="BB357" s="374">
        <v>0.2</v>
      </c>
      <c r="BC357" s="374">
        <v>0.2</v>
      </c>
      <c r="BD357" s="374">
        <v>0.2</v>
      </c>
      <c r="BE357" s="264"/>
      <c r="BF357" s="529"/>
      <c r="BG357" s="467"/>
      <c r="BH357" s="488"/>
      <c r="BI357" s="487"/>
      <c r="BJ357" s="374">
        <v>0.2</v>
      </c>
      <c r="BK357" s="374">
        <v>0.2</v>
      </c>
      <c r="BL357" s="374">
        <f t="shared" ref="BL357" si="358">BJ357</f>
        <v>0.2</v>
      </c>
      <c r="BM357" s="374">
        <v>0.2</v>
      </c>
      <c r="BN357" s="374">
        <v>0.2</v>
      </c>
      <c r="BO357" s="374">
        <v>0.2</v>
      </c>
      <c r="BP357" s="374">
        <v>0.2</v>
      </c>
      <c r="BQ357" s="374">
        <v>0.2</v>
      </c>
      <c r="BR357" s="374">
        <v>0.2</v>
      </c>
      <c r="BS357" s="263"/>
      <c r="BT357" s="267"/>
      <c r="BU357" s="267"/>
      <c r="BV357" s="267"/>
      <c r="BW357" s="267"/>
      <c r="BX357" s="267"/>
      <c r="BY357" s="267"/>
      <c r="BZ357" s="267"/>
      <c r="CA357" s="267"/>
      <c r="CB357" s="267"/>
    </row>
    <row r="358" spans="1:80" ht="24" customHeight="1" outlineLevel="1" x14ac:dyDescent="0.2">
      <c r="A358" s="312"/>
      <c r="B358" s="437" t="s">
        <v>113</v>
      </c>
      <c r="C358" s="171" t="s">
        <v>165</v>
      </c>
      <c r="D358" s="432" t="s">
        <v>111</v>
      </c>
      <c r="E358" s="426" t="s">
        <v>144</v>
      </c>
      <c r="F358" s="432" t="s">
        <v>61</v>
      </c>
      <c r="G358" s="432" t="s">
        <v>50</v>
      </c>
      <c r="H358" s="657" t="s">
        <v>152</v>
      </c>
      <c r="I358" s="756" t="s">
        <v>247</v>
      </c>
      <c r="J358" s="453"/>
      <c r="K358" s="467"/>
      <c r="L358" s="467"/>
      <c r="M358" s="467"/>
      <c r="N358" s="488"/>
      <c r="O358" s="421"/>
      <c r="P358" s="488"/>
      <c r="Q358" s="374">
        <v>0.25</v>
      </c>
      <c r="R358" s="488"/>
      <c r="S358" s="419">
        <f>(1+Sensitivity_GP_BE_Comms)*(EMP_Complex_Sys_Effort*(1+PM_Overhead)*$Q358)</f>
        <v>88</v>
      </c>
      <c r="T358" s="419">
        <f>(1+Sensitivity_GP_BE_Comms)*(EMP_Complex_Sys_Effort*(1+PM_Overhead)*$Q358)*(1+Additional_VM_Effort)</f>
        <v>132</v>
      </c>
      <c r="U358" s="419">
        <f>(1+Sensitivity_GP_BE_Comms)*(EMP_Complex_Sys_Effort*(1+PM_Overhead)*$Q358)</f>
        <v>88</v>
      </c>
      <c r="V358" s="419">
        <f>(1+Sensitivity_GP_BE_Comms)*(EMP_Complex_Sys_Effort*(1+PM_Overhead)*$Q358)</f>
        <v>88</v>
      </c>
      <c r="W358" s="419">
        <f>(1+Sensitivity_GP_BE_Comms)*(EMP_Complex_Sys_Effort_OR*(1+PM_Overhead)*$Q358*2)</f>
        <v>242.00000000000003</v>
      </c>
      <c r="X358" s="419">
        <f>(1+Sensitivity_GP_BE_Comms)*(EMP_Complex_Sys_Effort*(1+PM_Overhead)*$Q358)</f>
        <v>88</v>
      </c>
      <c r="Y358" s="419">
        <f>(1+Sensitivity_GP_BE_Comms)*(EMP_Complex_Sys_Effort*(1+PM_Overhead)*$Q358)*TierC_TierB_ratio</f>
        <v>44</v>
      </c>
      <c r="Z358" s="419">
        <f>(1+Sensitivity_GP_BE_Comms)*0</f>
        <v>0</v>
      </c>
      <c r="AA358" s="419">
        <f>Y358</f>
        <v>44</v>
      </c>
      <c r="AB358" s="264"/>
      <c r="AC358" s="421"/>
      <c r="AD358" s="467"/>
      <c r="AE358" s="374">
        <v>0.25</v>
      </c>
      <c r="AF358" s="487"/>
      <c r="AG358" s="410">
        <f>(1+Sensitivity_GP_BE_Comms)*(DCC_Complex_Sys_Effort*(1+PM_Overhead)*$AE358)</f>
        <v>105.87500000000001</v>
      </c>
      <c r="AH358" s="410">
        <f>(1+Sensitivity_GP_BE_Comms)*(DCC_Complex_Sys_Effort*(1+PM_Overhead)*$AE358)</f>
        <v>105.87500000000001</v>
      </c>
      <c r="AI358" s="410">
        <f>(1+Sensitivity_GP_BE_Comms)*(DCC_Complex_Sys_Effort*(1+PM_Overhead)*$AE358)</f>
        <v>105.87500000000001</v>
      </c>
      <c r="AJ358" s="410">
        <f>(1+Sensitivity_GP_BE_Comms)*(DCC_Complex_Sys_Effort*(1+PM_Overhead)*$AE358)</f>
        <v>105.87500000000001</v>
      </c>
      <c r="AK358" s="410">
        <f>(1+Sensitivity_GP_BE_Comms)*0</f>
        <v>0</v>
      </c>
      <c r="AL358" s="410">
        <f>(1+Sensitivity_GP_BE_Comms)*0</f>
        <v>0</v>
      </c>
      <c r="AM358" s="410">
        <f>(1+Sensitivity_GP_BE_Comms)*(DCC_Complex_Sys_Effort*(1+PM_Overhead)*$AE358)*TierC_TierB_ratio</f>
        <v>52.937500000000007</v>
      </c>
      <c r="AN358" s="410">
        <f>(1+Sensitivity_GP_BE_Comms)*0</f>
        <v>0</v>
      </c>
      <c r="AO358" s="410">
        <f>AM358</f>
        <v>52.937500000000007</v>
      </c>
      <c r="AP358" s="264"/>
      <c r="AQ358" s="264"/>
      <c r="AR358" s="421"/>
      <c r="AS358" s="467"/>
      <c r="AT358" s="374">
        <v>0.25</v>
      </c>
      <c r="AU358" s="488"/>
      <c r="AV358" s="419">
        <f>(1+Sensitivity_GP_BE_Comms)*(EMP_Complex_Sys_Effort*(1+PM_Overhead)*$Q358)</f>
        <v>88</v>
      </c>
      <c r="AW358" s="419">
        <f>(1+Sensitivity_GP_BE_Comms)*(EMP_Complex_Sys_Effort*(1+PM_Overhead)*$Q358)*(1+Additional_VM_Effort)</f>
        <v>132</v>
      </c>
      <c r="AX358" s="419">
        <f>(1+Sensitivity_GP_BE_Comms)*(EMP_Complex_Sys_Effort*(1+PM_Overhead)*$Q358)</f>
        <v>88</v>
      </c>
      <c r="AY358" s="419">
        <f>(1+Sensitivity_GP_BE_Comms)*(EMP_Complex_Sys_Effort*(1+PM_Overhead)*$Q358)</f>
        <v>88</v>
      </c>
      <c r="AZ358" s="419">
        <f>(1+Sensitivity_GP_BE_Comms)*(EMP_Complex_Sys_Effort_OR*(1+PM_Overhead)*$Q358*2)</f>
        <v>242.00000000000003</v>
      </c>
      <c r="BA358" s="419">
        <f>(1+Sensitivity_GP_BE_Comms)*(EMP_Complex_Sys_Effort*(1+PM_Overhead)*$Q358)</f>
        <v>88</v>
      </c>
      <c r="BB358" s="419">
        <f>(1+Sensitivity_GP_BE_Comms)*(EMP_Complex_Sys_Effort*(1+PM_Overhead)*$Q358)*TierC_TierB_ratio</f>
        <v>44</v>
      </c>
      <c r="BC358" s="419">
        <f>(1+Sensitivity_GP_BE_Comms)*0</f>
        <v>0</v>
      </c>
      <c r="BD358" s="419">
        <f>BB358</f>
        <v>44</v>
      </c>
      <c r="BE358" s="264"/>
      <c r="BF358" s="421"/>
      <c r="BG358" s="467"/>
      <c r="BH358" s="374">
        <v>0.25</v>
      </c>
      <c r="BI358" s="487"/>
      <c r="BJ358" s="410">
        <f>(1+Sensitivity_GP_BE_Comms)*(DCC_Complex_Sys_Effort*(1+PM_Overhead)*$AE358)</f>
        <v>105.87500000000001</v>
      </c>
      <c r="BK358" s="410">
        <f>(1+Sensitivity_GP_BE_Comms)*(DCC_Complex_Sys_Effort*(1+PM_Overhead)*$AE358)</f>
        <v>105.87500000000001</v>
      </c>
      <c r="BL358" s="410">
        <f>(1+Sensitivity_GP_BE_Comms)*(DCC_Complex_Sys_Effort*(1+PM_Overhead)*$AE358)</f>
        <v>105.87500000000001</v>
      </c>
      <c r="BM358" s="410">
        <f>(1+Sensitivity_GP_BE_Comms)*(DCC_Complex_Sys_Effort*(1+PM_Overhead)*$AE358)</f>
        <v>105.87500000000001</v>
      </c>
      <c r="BN358" s="410">
        <f>(1+Sensitivity_GP_BE_Comms)*0</f>
        <v>0</v>
      </c>
      <c r="BO358" s="410">
        <f>(1+Sensitivity_GP_BE_Comms)*0</f>
        <v>0</v>
      </c>
      <c r="BP358" s="410">
        <f>(1+Sensitivity_GP_BE_Comms)*(DCC_Complex_Sys_Effort*(1+PM_Overhead)*$AE358)*TierC_TierB_ratio</f>
        <v>52.937500000000007</v>
      </c>
      <c r="BQ358" s="410">
        <f>(1+Sensitivity_GP_BE_Comms)*0</f>
        <v>0</v>
      </c>
      <c r="BR358" s="410">
        <f>BP358</f>
        <v>52.937500000000007</v>
      </c>
      <c r="BS358" s="263"/>
      <c r="BT358" s="267"/>
      <c r="BU358" s="267"/>
      <c r="BV358" s="267"/>
      <c r="BW358" s="267"/>
      <c r="BX358" s="267"/>
      <c r="BY358" s="267"/>
      <c r="BZ358" s="267"/>
      <c r="CA358" s="267"/>
      <c r="CB358" s="267"/>
    </row>
    <row r="359" spans="1:80" ht="24" customHeight="1" outlineLevel="1" x14ac:dyDescent="0.2">
      <c r="A359" s="312"/>
      <c r="B359" s="437" t="s">
        <v>113</v>
      </c>
      <c r="C359" s="171" t="s">
        <v>165</v>
      </c>
      <c r="D359" s="432" t="s">
        <v>111</v>
      </c>
      <c r="E359" s="426" t="s">
        <v>144</v>
      </c>
      <c r="F359" s="432" t="s">
        <v>30</v>
      </c>
      <c r="G359" s="473" t="s">
        <v>50</v>
      </c>
      <c r="H359" s="657" t="s">
        <v>119</v>
      </c>
      <c r="I359" s="756"/>
      <c r="J359" s="453"/>
      <c r="K359" s="467"/>
      <c r="L359" s="467"/>
      <c r="M359" s="467"/>
      <c r="N359" s="488"/>
      <c r="O359" s="421" t="s">
        <v>91</v>
      </c>
      <c r="P359" s="488"/>
      <c r="Q359" s="374">
        <v>0</v>
      </c>
      <c r="R359" s="488"/>
      <c r="S359" s="419">
        <f t="shared" ref="S359:Y359" si="359">(1+Sensitivity_GP_BE_Comms)*0</f>
        <v>0</v>
      </c>
      <c r="T359" s="419">
        <f t="shared" si="359"/>
        <v>0</v>
      </c>
      <c r="U359" s="419">
        <f t="shared" si="359"/>
        <v>0</v>
      </c>
      <c r="V359" s="419">
        <f t="shared" si="359"/>
        <v>0</v>
      </c>
      <c r="W359" s="419">
        <f t="shared" si="359"/>
        <v>0</v>
      </c>
      <c r="X359" s="419">
        <f t="shared" si="359"/>
        <v>0</v>
      </c>
      <c r="Y359" s="419">
        <f t="shared" si="359"/>
        <v>0</v>
      </c>
      <c r="Z359" s="419">
        <f>(1+Sensitivity_GP_BE_Comms)*0</f>
        <v>0</v>
      </c>
      <c r="AA359" s="419">
        <f>(1+Sensitivity_GP_BE_Comms)*0</f>
        <v>0</v>
      </c>
      <c r="AB359" s="264"/>
      <c r="AC359" s="421" t="s">
        <v>233</v>
      </c>
      <c r="AD359" s="467"/>
      <c r="AE359" s="374">
        <v>0</v>
      </c>
      <c r="AF359" s="487"/>
      <c r="AG359" s="419">
        <f>(1+Sensitivity_GP_BE_Comms)*hw_interface_costs*$AE359</f>
        <v>0</v>
      </c>
      <c r="AH359" s="419">
        <f>(1+Sensitivity_GP_BE_Comms)*hw_interface_costs*$AE359</f>
        <v>0</v>
      </c>
      <c r="AI359" s="419">
        <f>(1+Sensitivity_GP_BE_Comms)*hw_interface_costs*$AE359</f>
        <v>0</v>
      </c>
      <c r="AJ359" s="419">
        <f>(1+Sensitivity_GP_BE_Comms)*hw_interface_costs*$AE359</f>
        <v>0</v>
      </c>
      <c r="AK359" s="419">
        <f>(1+Sensitivity_GP_BE_Comms)*0</f>
        <v>0</v>
      </c>
      <c r="AL359" s="419">
        <f>(1+Sensitivity_GP_BE_Comms)*0</f>
        <v>0</v>
      </c>
      <c r="AM359" s="419">
        <f>AJ359*TierC_TierB_ratio</f>
        <v>0</v>
      </c>
      <c r="AN359" s="419">
        <f>(1+Sensitivity_GP_BE_Comms)*0</f>
        <v>0</v>
      </c>
      <c r="AO359" s="419">
        <f>AM359</f>
        <v>0</v>
      </c>
      <c r="AP359" s="264"/>
      <c r="AQ359" s="264"/>
      <c r="AR359" s="421" t="s">
        <v>91</v>
      </c>
      <c r="AS359" s="467"/>
      <c r="AT359" s="488"/>
      <c r="AU359" s="488"/>
      <c r="AV359" s="419">
        <f t="shared" ref="AV359:BB359" si="360">(1+Sensitivity_GP_BE_Comms)*0</f>
        <v>0</v>
      </c>
      <c r="AW359" s="419">
        <f t="shared" si="360"/>
        <v>0</v>
      </c>
      <c r="AX359" s="419">
        <f t="shared" si="360"/>
        <v>0</v>
      </c>
      <c r="AY359" s="419">
        <f t="shared" si="360"/>
        <v>0</v>
      </c>
      <c r="AZ359" s="419">
        <f t="shared" si="360"/>
        <v>0</v>
      </c>
      <c r="BA359" s="419">
        <f t="shared" si="360"/>
        <v>0</v>
      </c>
      <c r="BB359" s="419">
        <f t="shared" si="360"/>
        <v>0</v>
      </c>
      <c r="BC359" s="419">
        <f>(1+Sensitivity_GP_BE_Comms)*0</f>
        <v>0</v>
      </c>
      <c r="BD359" s="419">
        <f>(1+Sensitivity_GP_BE_Comms)*0</f>
        <v>0</v>
      </c>
      <c r="BE359" s="264"/>
      <c r="BF359" s="421" t="s">
        <v>233</v>
      </c>
      <c r="BG359" s="467"/>
      <c r="BH359" s="374">
        <v>0</v>
      </c>
      <c r="BI359" s="487"/>
      <c r="BJ359" s="419">
        <f>(1+Sensitivity_GP_BE_Comms)*hw_interface_costs*$AE359</f>
        <v>0</v>
      </c>
      <c r="BK359" s="419">
        <f>(1+Sensitivity_GP_BE_Comms)*hw_interface_costs*$AE359</f>
        <v>0</v>
      </c>
      <c r="BL359" s="419">
        <f>(1+Sensitivity_GP_BE_Comms)*hw_interface_costs*$AE359</f>
        <v>0</v>
      </c>
      <c r="BM359" s="419">
        <f>(1+Sensitivity_GP_BE_Comms)*hw_interface_costs*$AE359</f>
        <v>0</v>
      </c>
      <c r="BN359" s="419">
        <f>(1+Sensitivity_GP_BE_Comms)*0</f>
        <v>0</v>
      </c>
      <c r="BO359" s="419">
        <f>(1+Sensitivity_GP_BE_Comms)*0</f>
        <v>0</v>
      </c>
      <c r="BP359" s="419">
        <f>BM359*TierC_TierB_ratio</f>
        <v>0</v>
      </c>
      <c r="BQ359" s="419">
        <f>(1+Sensitivity_GP_BE_Comms)*0</f>
        <v>0</v>
      </c>
      <c r="BR359" s="419">
        <f>BP359</f>
        <v>0</v>
      </c>
      <c r="BS359" s="263"/>
      <c r="BT359" s="267"/>
      <c r="BU359" s="267"/>
      <c r="BV359" s="267"/>
      <c r="BW359" s="267"/>
      <c r="BX359" s="267"/>
      <c r="BY359" s="267"/>
      <c r="BZ359" s="267"/>
      <c r="CA359" s="267"/>
      <c r="CB359" s="267"/>
    </row>
    <row r="360" spans="1:80" ht="24" customHeight="1" outlineLevel="1" x14ac:dyDescent="0.2">
      <c r="A360" s="312"/>
      <c r="B360" s="437" t="s">
        <v>113</v>
      </c>
      <c r="C360" s="171" t="s">
        <v>165</v>
      </c>
      <c r="D360" s="432" t="s">
        <v>111</v>
      </c>
      <c r="E360" s="426" t="s">
        <v>144</v>
      </c>
      <c r="F360" s="473" t="s">
        <v>49</v>
      </c>
      <c r="G360" s="473" t="s">
        <v>47</v>
      </c>
      <c r="H360" s="657" t="s">
        <v>120</v>
      </c>
      <c r="I360" s="756"/>
      <c r="J360" s="453"/>
      <c r="K360" s="467"/>
      <c r="L360" s="467"/>
      <c r="M360" s="467"/>
      <c r="N360" s="488"/>
      <c r="O360" s="421"/>
      <c r="P360" s="488"/>
      <c r="Q360" s="488"/>
      <c r="R360" s="488"/>
      <c r="S360" s="374">
        <v>0.2</v>
      </c>
      <c r="T360" s="374">
        <v>0.2</v>
      </c>
      <c r="U360" s="374">
        <v>0.2</v>
      </c>
      <c r="V360" s="374">
        <v>0.2</v>
      </c>
      <c r="W360" s="374">
        <v>0.2</v>
      </c>
      <c r="X360" s="374">
        <v>0.2</v>
      </c>
      <c r="Y360" s="374">
        <v>0.2</v>
      </c>
      <c r="Z360" s="374">
        <v>0.2</v>
      </c>
      <c r="AA360" s="374">
        <v>0.2</v>
      </c>
      <c r="AB360" s="264"/>
      <c r="AC360" s="421"/>
      <c r="AD360" s="467"/>
      <c r="AE360" s="488"/>
      <c r="AF360" s="487"/>
      <c r="AG360" s="374">
        <v>0.2</v>
      </c>
      <c r="AH360" s="374">
        <v>0.2</v>
      </c>
      <c r="AI360" s="374">
        <f t="shared" ref="AI360" si="361">AG360</f>
        <v>0.2</v>
      </c>
      <c r="AJ360" s="374">
        <v>0.2</v>
      </c>
      <c r="AK360" s="374">
        <v>0.2</v>
      </c>
      <c r="AL360" s="374">
        <v>0.2</v>
      </c>
      <c r="AM360" s="374">
        <v>0.2</v>
      </c>
      <c r="AN360" s="374">
        <v>0.2</v>
      </c>
      <c r="AO360" s="374">
        <v>0.2</v>
      </c>
      <c r="AP360" s="264"/>
      <c r="AQ360" s="264"/>
      <c r="AR360" s="421"/>
      <c r="AS360" s="467"/>
      <c r="AT360" s="488"/>
      <c r="AU360" s="488"/>
      <c r="AV360" s="374">
        <v>0.2</v>
      </c>
      <c r="AW360" s="374">
        <v>0.2</v>
      </c>
      <c r="AX360" s="374">
        <v>0.2</v>
      </c>
      <c r="AY360" s="374">
        <v>0.2</v>
      </c>
      <c r="AZ360" s="374">
        <v>0.2</v>
      </c>
      <c r="BA360" s="374">
        <v>0.2</v>
      </c>
      <c r="BB360" s="374">
        <v>0.2</v>
      </c>
      <c r="BC360" s="374">
        <v>0.2</v>
      </c>
      <c r="BD360" s="374">
        <v>0.2</v>
      </c>
      <c r="BE360" s="264"/>
      <c r="BF360" s="421"/>
      <c r="BG360" s="467"/>
      <c r="BH360" s="488"/>
      <c r="BI360" s="487"/>
      <c r="BJ360" s="374">
        <v>0.2</v>
      </c>
      <c r="BK360" s="374">
        <v>0.2</v>
      </c>
      <c r="BL360" s="374">
        <f t="shared" ref="BL360" si="362">BJ360</f>
        <v>0.2</v>
      </c>
      <c r="BM360" s="374">
        <v>0.2</v>
      </c>
      <c r="BN360" s="374">
        <v>0.2</v>
      </c>
      <c r="BO360" s="374">
        <v>0.2</v>
      </c>
      <c r="BP360" s="374">
        <v>0.2</v>
      </c>
      <c r="BQ360" s="374">
        <v>0.2</v>
      </c>
      <c r="BR360" s="374">
        <v>0.2</v>
      </c>
      <c r="BS360" s="263"/>
      <c r="BT360" s="267"/>
      <c r="BU360" s="267"/>
      <c r="BV360" s="267"/>
      <c r="BW360" s="267"/>
      <c r="BX360" s="267"/>
      <c r="BY360" s="267"/>
      <c r="BZ360" s="267"/>
      <c r="CA360" s="267"/>
      <c r="CB360" s="267"/>
    </row>
    <row r="361" spans="1:80" ht="24" customHeight="1" outlineLevel="1" x14ac:dyDescent="0.2">
      <c r="A361" s="312"/>
      <c r="B361" s="546" t="s">
        <v>113</v>
      </c>
      <c r="C361" s="547" t="s">
        <v>165</v>
      </c>
      <c r="D361" s="515" t="s">
        <v>111</v>
      </c>
      <c r="E361" s="413" t="s">
        <v>157</v>
      </c>
      <c r="F361" s="515" t="s">
        <v>61</v>
      </c>
      <c r="G361" s="515" t="s">
        <v>50</v>
      </c>
      <c r="H361" s="670" t="s">
        <v>152</v>
      </c>
      <c r="I361" s="753" t="s">
        <v>248</v>
      </c>
      <c r="J361" s="453"/>
      <c r="K361" s="467"/>
      <c r="L361" s="467"/>
      <c r="M361" s="467"/>
      <c r="N361" s="488"/>
      <c r="O361" s="415"/>
      <c r="P361" s="488"/>
      <c r="Q361" s="374">
        <v>0.25</v>
      </c>
      <c r="R361" s="488"/>
      <c r="S361" s="419">
        <f>(1+Sensitivity_GP_BE_Comms)*(EMP_Complex_Sys_Effort*(1+PM_Overhead)*$Q361)</f>
        <v>88</v>
      </c>
      <c r="T361" s="419">
        <f>(1+Sensitivity_GP_BE_Comms)*(EMP_Complex_Sys_Effort*(1+PM_Overhead)*$Q361)*(1+Additional_VM_Effort)</f>
        <v>132</v>
      </c>
      <c r="U361" s="419">
        <f>(1+Sensitivity_GP_BE_Comms)*(EMP_Complex_Sys_Effort*(1+PM_Overhead)*$Q361)</f>
        <v>88</v>
      </c>
      <c r="V361" s="419">
        <f>(1+Sensitivity_GP_BE_Comms)*(EMP_Complex_Sys_Effort*(1+PM_Overhead)*$Q361)</f>
        <v>88</v>
      </c>
      <c r="W361" s="419">
        <f>(1+Sensitivity_GP_BE_Comms)*(EMP_Complex_Sys_Effort_OR*(1+PM_Overhead)*$Q361*2)</f>
        <v>242.00000000000003</v>
      </c>
      <c r="X361" s="419">
        <f>(1+Sensitivity_GP_BE_Comms)*(EMP_Complex_Sys_Effort*(1+PM_Overhead)*$Q361)</f>
        <v>88</v>
      </c>
      <c r="Y361" s="419">
        <f>(1+Sensitivity_GP_BE_Comms)*(EMP_Complex_Sys_Effort*(1+PM_Overhead)*$Q361)*TierC_TierB_ratio</f>
        <v>44</v>
      </c>
      <c r="Z361" s="419">
        <f>(1+Sensitivity_GP_BE_Comms)*0</f>
        <v>0</v>
      </c>
      <c r="AA361" s="419">
        <f>Y361</f>
        <v>44</v>
      </c>
      <c r="AB361" s="264"/>
      <c r="AC361" s="529"/>
      <c r="AD361" s="467"/>
      <c r="AE361" s="374">
        <v>0.25</v>
      </c>
      <c r="AF361" s="487"/>
      <c r="AG361" s="410">
        <f>(1+Sensitivity_GP_BE_Comms)*(DCC_Complex_Sys_Effort*(1+PM_Overhead)*$AE361)</f>
        <v>105.87500000000001</v>
      </c>
      <c r="AH361" s="410">
        <f>(1+Sensitivity_GP_BE_Comms)*(DCC_Complex_Sys_Effort*(1+PM_Overhead)*$AE361)</f>
        <v>105.87500000000001</v>
      </c>
      <c r="AI361" s="410">
        <f>(1+Sensitivity_GP_BE_Comms)*(DCC_Complex_Sys_Effort*(1+PM_Overhead)*$AE361)</f>
        <v>105.87500000000001</v>
      </c>
      <c r="AJ361" s="410">
        <f>(1+Sensitivity_GP_BE_Comms)*(DCC_Complex_Sys_Effort*(1+PM_Overhead)*$AE361)</f>
        <v>105.87500000000001</v>
      </c>
      <c r="AK361" s="410">
        <f>(1+Sensitivity_GP_BE_Comms)*0</f>
        <v>0</v>
      </c>
      <c r="AL361" s="410">
        <f>(1+Sensitivity_GP_BE_Comms)*0</f>
        <v>0</v>
      </c>
      <c r="AM361" s="410">
        <f>(1+Sensitivity_GP_BE_Comms)*(DCC_Complex_Sys_Effort*(1+PM_Overhead)*$AE361)*TierC_TierB_ratio</f>
        <v>52.937500000000007</v>
      </c>
      <c r="AN361" s="410">
        <f>(1+Sensitivity_GP_BE_Comms)*0</f>
        <v>0</v>
      </c>
      <c r="AO361" s="410">
        <f>AM361</f>
        <v>52.937500000000007</v>
      </c>
      <c r="AP361" s="264"/>
      <c r="AQ361" s="264"/>
      <c r="AR361" s="415"/>
      <c r="AS361" s="467"/>
      <c r="AT361" s="374">
        <v>0.25</v>
      </c>
      <c r="AU361" s="488"/>
      <c r="AV361" s="419">
        <f>(1+Sensitivity_GP_BE_Comms)*(EMP_Complex_Sys_Effort*(1+PM_Overhead)*$Q361)</f>
        <v>88</v>
      </c>
      <c r="AW361" s="419">
        <f>(1+Sensitivity_GP_BE_Comms)*(EMP_Complex_Sys_Effort*(1+PM_Overhead)*$Q361)*(1+Additional_VM_Effort)</f>
        <v>132</v>
      </c>
      <c r="AX361" s="419">
        <f>(1+Sensitivity_GP_BE_Comms)*(EMP_Complex_Sys_Effort*(1+PM_Overhead)*$Q361)</f>
        <v>88</v>
      </c>
      <c r="AY361" s="419">
        <f>(1+Sensitivity_GP_BE_Comms)*(EMP_Complex_Sys_Effort*(1+PM_Overhead)*$Q361)</f>
        <v>88</v>
      </c>
      <c r="AZ361" s="419">
        <f>(1+Sensitivity_GP_BE_Comms)*(EMP_Complex_Sys_Effort_OR*(1+PM_Overhead)*$Q361*2)</f>
        <v>242.00000000000003</v>
      </c>
      <c r="BA361" s="419">
        <f>(1+Sensitivity_GP_BE_Comms)*(EMP_Complex_Sys_Effort*(1+PM_Overhead)*$Q361)</f>
        <v>88</v>
      </c>
      <c r="BB361" s="419">
        <f>(1+Sensitivity_GP_BE_Comms)*(EMP_Complex_Sys_Effort*(1+PM_Overhead)*$Q361)*TierC_TierB_ratio</f>
        <v>44</v>
      </c>
      <c r="BC361" s="419">
        <f>(1+Sensitivity_GP_BE_Comms)*0</f>
        <v>0</v>
      </c>
      <c r="BD361" s="419">
        <f>BB361</f>
        <v>44</v>
      </c>
      <c r="BE361" s="264"/>
      <c r="BF361" s="529"/>
      <c r="BG361" s="467"/>
      <c r="BH361" s="374">
        <v>0.25</v>
      </c>
      <c r="BI361" s="487"/>
      <c r="BJ361" s="410">
        <f>(1+Sensitivity_GP_BE_Comms)*(DCC_Complex_Sys_Effort*(1+PM_Overhead)*$AE361)</f>
        <v>105.87500000000001</v>
      </c>
      <c r="BK361" s="410">
        <f>(1+Sensitivity_GP_BE_Comms)*(DCC_Complex_Sys_Effort*(1+PM_Overhead)*$AE361)</f>
        <v>105.87500000000001</v>
      </c>
      <c r="BL361" s="410">
        <f>(1+Sensitivity_GP_BE_Comms)*(DCC_Complex_Sys_Effort*(1+PM_Overhead)*$AE361)</f>
        <v>105.87500000000001</v>
      </c>
      <c r="BM361" s="410">
        <f>(1+Sensitivity_GP_BE_Comms)*(DCC_Complex_Sys_Effort*(1+PM_Overhead)*$AE361)</f>
        <v>105.87500000000001</v>
      </c>
      <c r="BN361" s="410">
        <f>(1+Sensitivity_GP_BE_Comms)*0</f>
        <v>0</v>
      </c>
      <c r="BO361" s="410">
        <f>(1+Sensitivity_GP_BE_Comms)*0</f>
        <v>0</v>
      </c>
      <c r="BP361" s="410">
        <f>(1+Sensitivity_GP_BE_Comms)*(DCC_Complex_Sys_Effort*(1+PM_Overhead)*$AE361)*TierC_TierB_ratio</f>
        <v>52.937500000000007</v>
      </c>
      <c r="BQ361" s="410">
        <f>(1+Sensitivity_GP_BE_Comms)*0</f>
        <v>0</v>
      </c>
      <c r="BR361" s="410">
        <f>BP361</f>
        <v>52.937500000000007</v>
      </c>
      <c r="BS361" s="263"/>
      <c r="BT361" s="267"/>
      <c r="BU361" s="267"/>
      <c r="BV361" s="267"/>
      <c r="BW361" s="267"/>
      <c r="BX361" s="267"/>
      <c r="BY361" s="267"/>
      <c r="BZ361" s="267"/>
      <c r="CA361" s="267"/>
      <c r="CB361" s="267"/>
    </row>
    <row r="362" spans="1:80" ht="24" customHeight="1" outlineLevel="1" x14ac:dyDescent="0.2">
      <c r="A362" s="312"/>
      <c r="B362" s="546" t="s">
        <v>113</v>
      </c>
      <c r="C362" s="547" t="s">
        <v>165</v>
      </c>
      <c r="D362" s="515" t="s">
        <v>111</v>
      </c>
      <c r="E362" s="413" t="s">
        <v>157</v>
      </c>
      <c r="F362" s="515" t="s">
        <v>30</v>
      </c>
      <c r="G362" s="651" t="s">
        <v>50</v>
      </c>
      <c r="H362" s="670" t="s">
        <v>119</v>
      </c>
      <c r="I362" s="753"/>
      <c r="J362" s="453"/>
      <c r="K362" s="467"/>
      <c r="L362" s="467"/>
      <c r="M362" s="467"/>
      <c r="N362" s="488"/>
      <c r="O362" s="415" t="s">
        <v>163</v>
      </c>
      <c r="P362" s="488"/>
      <c r="Q362" s="374">
        <v>0</v>
      </c>
      <c r="R362" s="488"/>
      <c r="S362" s="419">
        <f t="shared" ref="S362:Y362" si="363">(1+Sensitivity_GP_BE_Comms)*0</f>
        <v>0</v>
      </c>
      <c r="T362" s="419">
        <f t="shared" si="363"/>
        <v>0</v>
      </c>
      <c r="U362" s="419">
        <f t="shared" si="363"/>
        <v>0</v>
      </c>
      <c r="V362" s="419">
        <f t="shared" si="363"/>
        <v>0</v>
      </c>
      <c r="W362" s="419">
        <f t="shared" si="363"/>
        <v>0</v>
      </c>
      <c r="X362" s="419">
        <f t="shared" si="363"/>
        <v>0</v>
      </c>
      <c r="Y362" s="419">
        <f t="shared" si="363"/>
        <v>0</v>
      </c>
      <c r="Z362" s="419">
        <f>(1+Sensitivity_GP_BE_Comms)*0</f>
        <v>0</v>
      </c>
      <c r="AA362" s="419">
        <f>(1+Sensitivity_GP_BE_Comms)*0</f>
        <v>0</v>
      </c>
      <c r="AB362" s="264"/>
      <c r="AC362" s="529" t="s">
        <v>233</v>
      </c>
      <c r="AD362" s="467"/>
      <c r="AE362" s="374">
        <v>1</v>
      </c>
      <c r="AF362" s="487"/>
      <c r="AG362" s="600">
        <f>(1+Sensitivity_GP_BE_Comms)*hw_interface_costs*$AE362</f>
        <v>40000</v>
      </c>
      <c r="AH362" s="600">
        <f>(1+Sensitivity_GP_BE_Comms)*hw_interface_costs*$AE362</f>
        <v>40000</v>
      </c>
      <c r="AI362" s="600">
        <f>(1+Sensitivity_GP_BE_Comms)*hw_interface_costs*$AE362</f>
        <v>40000</v>
      </c>
      <c r="AJ362" s="600">
        <f>(1+Sensitivity_GP_BE_Comms)*hw_interface_costs*$AE362</f>
        <v>40000</v>
      </c>
      <c r="AK362" s="600">
        <f>(1+Sensitivity_GP_BE_Comms)*0</f>
        <v>0</v>
      </c>
      <c r="AL362" s="600">
        <f>(1+Sensitivity_GP_BE_Comms)*0</f>
        <v>0</v>
      </c>
      <c r="AM362" s="600">
        <f>(1+Sensitivity_GP_BE_Comms)*hw_interface_costs*$AE362*TierC_TierB_ratio</f>
        <v>20000</v>
      </c>
      <c r="AN362" s="600">
        <f>(1+Sensitivity_GP_BE_Comms)*0</f>
        <v>0</v>
      </c>
      <c r="AO362" s="600">
        <f>AM362</f>
        <v>20000</v>
      </c>
      <c r="AP362" s="264"/>
      <c r="AQ362" s="264"/>
      <c r="AR362" s="415" t="s">
        <v>163</v>
      </c>
      <c r="AS362" s="467"/>
      <c r="AT362" s="488"/>
      <c r="AU362" s="488"/>
      <c r="AV362" s="419">
        <f t="shared" ref="AV362:BB362" si="364">(1+Sensitivity_GP_BE_Comms)*0</f>
        <v>0</v>
      </c>
      <c r="AW362" s="419">
        <f t="shared" si="364"/>
        <v>0</v>
      </c>
      <c r="AX362" s="419">
        <f t="shared" si="364"/>
        <v>0</v>
      </c>
      <c r="AY362" s="419">
        <f t="shared" si="364"/>
        <v>0</v>
      </c>
      <c r="AZ362" s="419">
        <f t="shared" si="364"/>
        <v>0</v>
      </c>
      <c r="BA362" s="419">
        <f t="shared" si="364"/>
        <v>0</v>
      </c>
      <c r="BB362" s="419">
        <f t="shared" si="364"/>
        <v>0</v>
      </c>
      <c r="BC362" s="419">
        <f>(1+Sensitivity_GP_BE_Comms)*0</f>
        <v>0</v>
      </c>
      <c r="BD362" s="419">
        <f>(1+Sensitivity_GP_BE_Comms)*0</f>
        <v>0</v>
      </c>
      <c r="BE362" s="264"/>
      <c r="BF362" s="529" t="s">
        <v>233</v>
      </c>
      <c r="BG362" s="467"/>
      <c r="BH362" s="374">
        <v>1</v>
      </c>
      <c r="BI362" s="487"/>
      <c r="BJ362" s="600">
        <f>(1+Sensitivity_GP_BE_Comms)*hw_interface_costs*$AE362</f>
        <v>40000</v>
      </c>
      <c r="BK362" s="600">
        <f>(1+Sensitivity_GP_BE_Comms)*hw_interface_costs*$AE362</f>
        <v>40000</v>
      </c>
      <c r="BL362" s="600">
        <f>(1+Sensitivity_GP_BE_Comms)*hw_interface_costs*$AE362</f>
        <v>40000</v>
      </c>
      <c r="BM362" s="600">
        <f>(1+Sensitivity_GP_BE_Comms)*hw_interface_costs*$AE362</f>
        <v>40000</v>
      </c>
      <c r="BN362" s="600">
        <f>(1+Sensitivity_GP_BE_Comms)*0</f>
        <v>0</v>
      </c>
      <c r="BO362" s="600">
        <f>(1+Sensitivity_GP_BE_Comms)*0</f>
        <v>0</v>
      </c>
      <c r="BP362" s="600">
        <f>(1+Sensitivity_GP_BE_Comms)*hw_interface_costs*$AE362*TierC_TierB_ratio</f>
        <v>20000</v>
      </c>
      <c r="BQ362" s="600">
        <f>(1+Sensitivity_GP_BE_Comms)*0</f>
        <v>0</v>
      </c>
      <c r="BR362" s="600">
        <f>BP362</f>
        <v>20000</v>
      </c>
      <c r="BS362" s="263"/>
      <c r="BT362" s="267"/>
      <c r="BU362" s="267"/>
      <c r="BV362" s="267"/>
      <c r="BW362" s="267"/>
      <c r="BX362" s="267"/>
      <c r="BY362" s="267"/>
      <c r="BZ362" s="267"/>
      <c r="CA362" s="267"/>
      <c r="CB362" s="267"/>
    </row>
    <row r="363" spans="1:80" ht="24" customHeight="1" outlineLevel="1" x14ac:dyDescent="0.2">
      <c r="A363" s="312"/>
      <c r="B363" s="546" t="s">
        <v>113</v>
      </c>
      <c r="C363" s="547" t="s">
        <v>165</v>
      </c>
      <c r="D363" s="515" t="s">
        <v>111</v>
      </c>
      <c r="E363" s="413" t="s">
        <v>157</v>
      </c>
      <c r="F363" s="651" t="s">
        <v>49</v>
      </c>
      <c r="G363" s="651" t="s">
        <v>47</v>
      </c>
      <c r="H363" s="670" t="s">
        <v>120</v>
      </c>
      <c r="I363" s="753"/>
      <c r="J363" s="453"/>
      <c r="K363" s="467"/>
      <c r="L363" s="467"/>
      <c r="M363" s="467"/>
      <c r="N363" s="488"/>
      <c r="O363" s="415"/>
      <c r="P363" s="488"/>
      <c r="Q363" s="488"/>
      <c r="R363" s="488"/>
      <c r="S363" s="374">
        <v>0.2</v>
      </c>
      <c r="T363" s="374">
        <v>0.2</v>
      </c>
      <c r="U363" s="374">
        <f t="shared" ref="U363" si="365">S363</f>
        <v>0.2</v>
      </c>
      <c r="V363" s="374">
        <v>0.2</v>
      </c>
      <c r="W363" s="374">
        <v>0.2</v>
      </c>
      <c r="X363" s="374">
        <v>0.2</v>
      </c>
      <c r="Y363" s="374">
        <v>0.2</v>
      </c>
      <c r="Z363" s="374">
        <v>0.2</v>
      </c>
      <c r="AA363" s="374">
        <v>0.2</v>
      </c>
      <c r="AB363" s="264"/>
      <c r="AC363" s="529"/>
      <c r="AD363" s="467"/>
      <c r="AE363" s="488"/>
      <c r="AF363" s="487"/>
      <c r="AG363" s="374">
        <v>0.2</v>
      </c>
      <c r="AH363" s="374">
        <v>0.2</v>
      </c>
      <c r="AI363" s="374">
        <f t="shared" ref="AI363" si="366">AG363</f>
        <v>0.2</v>
      </c>
      <c r="AJ363" s="374">
        <v>0.2</v>
      </c>
      <c r="AK363" s="374">
        <v>0.2</v>
      </c>
      <c r="AL363" s="374">
        <v>0.2</v>
      </c>
      <c r="AM363" s="374">
        <v>0.2</v>
      </c>
      <c r="AN363" s="374">
        <v>0.2</v>
      </c>
      <c r="AO363" s="374">
        <v>0.2</v>
      </c>
      <c r="AP363" s="264"/>
      <c r="AQ363" s="264"/>
      <c r="AR363" s="415"/>
      <c r="AS363" s="467"/>
      <c r="AT363" s="488"/>
      <c r="AU363" s="488"/>
      <c r="AV363" s="374">
        <v>0.2</v>
      </c>
      <c r="AW363" s="374">
        <v>0.2</v>
      </c>
      <c r="AX363" s="374">
        <f t="shared" ref="AX363" si="367">AV363</f>
        <v>0.2</v>
      </c>
      <c r="AY363" s="374">
        <v>0.2</v>
      </c>
      <c r="AZ363" s="374">
        <v>0.2</v>
      </c>
      <c r="BA363" s="374">
        <v>0.2</v>
      </c>
      <c r="BB363" s="374">
        <v>0.2</v>
      </c>
      <c r="BC363" s="374">
        <v>0.2</v>
      </c>
      <c r="BD363" s="374">
        <v>0.2</v>
      </c>
      <c r="BE363" s="264"/>
      <c r="BF363" s="529"/>
      <c r="BG363" s="467"/>
      <c r="BH363" s="488"/>
      <c r="BI363" s="487"/>
      <c r="BJ363" s="374">
        <v>0.2</v>
      </c>
      <c r="BK363" s="374">
        <v>0.2</v>
      </c>
      <c r="BL363" s="374">
        <f t="shared" ref="BL363" si="368">BJ363</f>
        <v>0.2</v>
      </c>
      <c r="BM363" s="374">
        <v>0.2</v>
      </c>
      <c r="BN363" s="374">
        <v>0.2</v>
      </c>
      <c r="BO363" s="374">
        <v>0.2</v>
      </c>
      <c r="BP363" s="374">
        <v>0.2</v>
      </c>
      <c r="BQ363" s="374">
        <v>0.2</v>
      </c>
      <c r="BR363" s="374">
        <v>0.2</v>
      </c>
      <c r="BS363" s="263"/>
      <c r="BT363" s="267"/>
      <c r="BU363" s="267"/>
      <c r="BV363" s="267"/>
      <c r="BW363" s="267"/>
      <c r="BX363" s="267"/>
      <c r="BY363" s="267"/>
      <c r="BZ363" s="267"/>
      <c r="CA363" s="267"/>
      <c r="CB363" s="267"/>
    </row>
    <row r="364" spans="1:80" ht="24" customHeight="1" outlineLevel="1" x14ac:dyDescent="0.2">
      <c r="A364" s="312"/>
      <c r="B364" s="263"/>
      <c r="C364" s="263"/>
      <c r="D364" s="263"/>
      <c r="E364" s="263"/>
      <c r="F364" s="263"/>
      <c r="G364" s="506"/>
      <c r="H364" s="484" t="s">
        <v>204</v>
      </c>
      <c r="I364" s="345"/>
      <c r="J364" s="264"/>
      <c r="K364" s="263"/>
      <c r="L364" s="263"/>
      <c r="M364" s="263"/>
      <c r="N364" s="264"/>
      <c r="O364" s="263"/>
      <c r="P364" s="264"/>
      <c r="Q364" s="658">
        <f>SUMIF($H$352:$H$363,$H$352,Q$352:Q$363)</f>
        <v>1</v>
      </c>
      <c r="R364" s="264"/>
      <c r="S364" s="659">
        <f>SUMIF($H$352:$H$363,$H$352,S$352:S$363)</f>
        <v>352</v>
      </c>
      <c r="T364" s="659">
        <f t="shared" ref="T364:AA364" si="369">SUMIF($H$352:$H$363,$H$352,T$352:T$363)</f>
        <v>528</v>
      </c>
      <c r="U364" s="659">
        <f t="shared" si="369"/>
        <v>352</v>
      </c>
      <c r="V364" s="659">
        <f t="shared" si="369"/>
        <v>352</v>
      </c>
      <c r="W364" s="659">
        <f t="shared" si="369"/>
        <v>484.00000000000006</v>
      </c>
      <c r="X364" s="659">
        <f t="shared" si="369"/>
        <v>352</v>
      </c>
      <c r="Y364" s="659">
        <f t="shared" si="369"/>
        <v>132</v>
      </c>
      <c r="Z364" s="659">
        <f t="shared" si="369"/>
        <v>0</v>
      </c>
      <c r="AA364" s="659">
        <f t="shared" si="369"/>
        <v>132</v>
      </c>
      <c r="AB364" s="264"/>
      <c r="AC364" s="263"/>
      <c r="AD364" s="264"/>
      <c r="AE364" s="658">
        <f>SUMIF($H$352:$H$363,$H$352,AE$352:AE$363)</f>
        <v>1</v>
      </c>
      <c r="AF364" s="264"/>
      <c r="AG364" s="659">
        <f>SUMIF($H$352:$H$363,$H$352,AG$352:AG$363)</f>
        <v>423.50000000000006</v>
      </c>
      <c r="AH364" s="659">
        <f t="shared" ref="AH364:AO364" si="370">SUMIF($H$352:$H$363,$H$352,AH$352:AH$363)</f>
        <v>423.50000000000006</v>
      </c>
      <c r="AI364" s="659">
        <f t="shared" si="370"/>
        <v>423.50000000000006</v>
      </c>
      <c r="AJ364" s="659">
        <f t="shared" si="370"/>
        <v>423.50000000000006</v>
      </c>
      <c r="AK364" s="659">
        <f t="shared" si="370"/>
        <v>0</v>
      </c>
      <c r="AL364" s="659">
        <f t="shared" si="370"/>
        <v>0</v>
      </c>
      <c r="AM364" s="659">
        <f t="shared" si="370"/>
        <v>211.75000000000003</v>
      </c>
      <c r="AN364" s="659">
        <f t="shared" si="370"/>
        <v>0</v>
      </c>
      <c r="AO364" s="659">
        <f t="shared" si="370"/>
        <v>211.75000000000003</v>
      </c>
      <c r="AP364" s="264"/>
      <c r="AQ364" s="264"/>
      <c r="AR364" s="263"/>
      <c r="AS364" s="264"/>
      <c r="AT364" s="658">
        <f>SUMIF($H$352:$H$363,$H$352,AT$352:AT$363)</f>
        <v>1</v>
      </c>
      <c r="AU364" s="264"/>
      <c r="AV364" s="659">
        <f>SUMIF($H$352:$H$363,$H$352,AV$352:AV$363)</f>
        <v>352</v>
      </c>
      <c r="AW364" s="659">
        <f t="shared" ref="AW364:BD364" si="371">SUMIF($H$352:$H$363,$H$352,AW$352:AW$363)</f>
        <v>528</v>
      </c>
      <c r="AX364" s="659">
        <f t="shared" si="371"/>
        <v>352</v>
      </c>
      <c r="AY364" s="659">
        <f t="shared" si="371"/>
        <v>352</v>
      </c>
      <c r="AZ364" s="659">
        <f t="shared" si="371"/>
        <v>484.00000000000006</v>
      </c>
      <c r="BA364" s="659">
        <f t="shared" si="371"/>
        <v>352</v>
      </c>
      <c r="BB364" s="659">
        <f t="shared" si="371"/>
        <v>132</v>
      </c>
      <c r="BC364" s="659">
        <f t="shared" si="371"/>
        <v>0</v>
      </c>
      <c r="BD364" s="659">
        <f t="shared" si="371"/>
        <v>132</v>
      </c>
      <c r="BE364" s="264"/>
      <c r="BF364" s="263"/>
      <c r="BG364" s="264"/>
      <c r="BH364" s="658">
        <f>SUMIF($H$352:$H$363,$H$352,BH$352:BH$363)</f>
        <v>1</v>
      </c>
      <c r="BI364" s="264"/>
      <c r="BJ364" s="659">
        <f>SUMIF($H$352:$H$363,$H$352,BJ$352:BJ$363)</f>
        <v>423.50000000000006</v>
      </c>
      <c r="BK364" s="659">
        <f t="shared" ref="BK364:BR364" si="372">SUMIF($H$352:$H$363,$H$352,BK$352:BK$363)</f>
        <v>423.50000000000006</v>
      </c>
      <c r="BL364" s="659">
        <f t="shared" si="372"/>
        <v>423.50000000000006</v>
      </c>
      <c r="BM364" s="659">
        <f t="shared" si="372"/>
        <v>423.50000000000006</v>
      </c>
      <c r="BN364" s="659">
        <f t="shared" si="372"/>
        <v>0</v>
      </c>
      <c r="BO364" s="659">
        <f t="shared" si="372"/>
        <v>0</v>
      </c>
      <c r="BP364" s="659">
        <f t="shared" si="372"/>
        <v>211.75000000000003</v>
      </c>
      <c r="BQ364" s="659">
        <f t="shared" si="372"/>
        <v>0</v>
      </c>
      <c r="BR364" s="659">
        <f t="shared" si="372"/>
        <v>211.75000000000003</v>
      </c>
      <c r="BS364" s="263"/>
      <c r="BT364" s="267"/>
      <c r="BU364" s="267"/>
      <c r="BV364" s="267"/>
      <c r="BW364" s="267"/>
      <c r="BX364" s="267"/>
      <c r="BY364" s="267"/>
      <c r="BZ364" s="267"/>
      <c r="CA364" s="267"/>
      <c r="CB364" s="267"/>
    </row>
    <row r="365" spans="1:80" ht="24" customHeight="1" x14ac:dyDescent="0.2">
      <c r="A365" s="312"/>
      <c r="B365" s="263"/>
      <c r="C365" s="263"/>
      <c r="D365" s="263"/>
      <c r="E365" s="263"/>
      <c r="F365" s="263"/>
      <c r="G365" s="506"/>
      <c r="H365" s="484" t="s">
        <v>434</v>
      </c>
      <c r="I365" s="345"/>
      <c r="J365" s="264"/>
      <c r="K365" s="263"/>
      <c r="L365" s="263"/>
      <c r="M365" s="263"/>
      <c r="N365" s="264"/>
      <c r="O365" s="263"/>
      <c r="P365" s="264"/>
      <c r="Q365" s="658">
        <f>SUMIF($H$352:$H$363,$H$353,Q$352:Q$363)</f>
        <v>0</v>
      </c>
      <c r="R365" s="264"/>
      <c r="S365" s="659">
        <f>SUMIF($H$352:$H$363,$H$353,S$352:S$363)</f>
        <v>0</v>
      </c>
      <c r="T365" s="659">
        <f t="shared" ref="T365:AA365" si="373">SUMIF($H$352:$H$363,$H$353,T$352:T$363)</f>
        <v>0</v>
      </c>
      <c r="U365" s="659">
        <f t="shared" si="373"/>
        <v>0</v>
      </c>
      <c r="V365" s="659">
        <f t="shared" si="373"/>
        <v>0</v>
      </c>
      <c r="W365" s="659">
        <f t="shared" si="373"/>
        <v>0</v>
      </c>
      <c r="X365" s="659">
        <f t="shared" si="373"/>
        <v>0</v>
      </c>
      <c r="Y365" s="659">
        <f t="shared" si="373"/>
        <v>0</v>
      </c>
      <c r="Z365" s="659">
        <f t="shared" si="373"/>
        <v>0</v>
      </c>
      <c r="AA365" s="659">
        <f t="shared" si="373"/>
        <v>0</v>
      </c>
      <c r="AB365" s="264"/>
      <c r="AC365" s="263"/>
      <c r="AD365" s="264"/>
      <c r="AE365" s="658">
        <f>SUMIF($H$352:$H$363,$H$353,AE$352:AE$363)</f>
        <v>1</v>
      </c>
      <c r="AF365" s="264"/>
      <c r="AG365" s="660">
        <f>SUMIF($H$352:$H$363,$H$353,AG$352:AG$363)</f>
        <v>40000</v>
      </c>
      <c r="AH365" s="660">
        <f t="shared" ref="AH365:AO365" si="374">SUMIF($H$352:$H$363,$H$353,AH$352:AH$363)</f>
        <v>40000</v>
      </c>
      <c r="AI365" s="660">
        <f t="shared" si="374"/>
        <v>40000</v>
      </c>
      <c r="AJ365" s="660">
        <f t="shared" si="374"/>
        <v>40000</v>
      </c>
      <c r="AK365" s="660">
        <f t="shared" si="374"/>
        <v>0</v>
      </c>
      <c r="AL365" s="660">
        <f t="shared" si="374"/>
        <v>0</v>
      </c>
      <c r="AM365" s="660">
        <f t="shared" si="374"/>
        <v>20000</v>
      </c>
      <c r="AN365" s="660">
        <f t="shared" si="374"/>
        <v>0</v>
      </c>
      <c r="AO365" s="660">
        <f t="shared" si="374"/>
        <v>20000</v>
      </c>
      <c r="AP365" s="264"/>
      <c r="AQ365" s="264"/>
      <c r="AR365" s="263"/>
      <c r="AS365" s="264"/>
      <c r="AT365" s="658">
        <f>SUMIF($H$352:$H$363,$H$353,AT$352:AT$363)</f>
        <v>0</v>
      </c>
      <c r="AU365" s="264"/>
      <c r="AV365" s="659">
        <f>SUMIF($H$352:$H$363,$H$353,AV$352:AV$363)</f>
        <v>0</v>
      </c>
      <c r="AW365" s="659">
        <f t="shared" ref="AW365:BD365" si="375">SUMIF($H$352:$H$363,$H$353,AW$352:AW$363)</f>
        <v>0</v>
      </c>
      <c r="AX365" s="659">
        <f t="shared" si="375"/>
        <v>0</v>
      </c>
      <c r="AY365" s="659">
        <f t="shared" si="375"/>
        <v>0</v>
      </c>
      <c r="AZ365" s="659">
        <f t="shared" si="375"/>
        <v>0</v>
      </c>
      <c r="BA365" s="659">
        <f t="shared" si="375"/>
        <v>0</v>
      </c>
      <c r="BB365" s="659">
        <f t="shared" si="375"/>
        <v>0</v>
      </c>
      <c r="BC365" s="659">
        <f t="shared" si="375"/>
        <v>0</v>
      </c>
      <c r="BD365" s="659">
        <f t="shared" si="375"/>
        <v>0</v>
      </c>
      <c r="BE365" s="264"/>
      <c r="BF365" s="263"/>
      <c r="BG365" s="264"/>
      <c r="BH365" s="658">
        <f>SUMIF($H$352:$H$363,$H$353,BH$352:BH$363)</f>
        <v>1</v>
      </c>
      <c r="BI365" s="264"/>
      <c r="BJ365" s="660">
        <f>SUMIF($H$352:$H$363,$H$353,BJ$352:BJ$363)</f>
        <v>40000</v>
      </c>
      <c r="BK365" s="660">
        <f t="shared" ref="BK365:BR365" si="376">SUMIF($H$352:$H$363,$H$353,BK$352:BK$363)</f>
        <v>40000</v>
      </c>
      <c r="BL365" s="660">
        <f t="shared" si="376"/>
        <v>40000</v>
      </c>
      <c r="BM365" s="660">
        <f t="shared" si="376"/>
        <v>40000</v>
      </c>
      <c r="BN365" s="660">
        <f t="shared" si="376"/>
        <v>0</v>
      </c>
      <c r="BO365" s="660">
        <f t="shared" si="376"/>
        <v>0</v>
      </c>
      <c r="BP365" s="660">
        <f t="shared" si="376"/>
        <v>20000</v>
      </c>
      <c r="BQ365" s="660">
        <f t="shared" si="376"/>
        <v>0</v>
      </c>
      <c r="BR365" s="660">
        <f t="shared" si="376"/>
        <v>20000</v>
      </c>
      <c r="BS365" s="263"/>
      <c r="BT365" s="267"/>
      <c r="BU365" s="267"/>
      <c r="BV365" s="267"/>
      <c r="BW365" s="267"/>
      <c r="BX365" s="267"/>
      <c r="BY365" s="267"/>
      <c r="BZ365" s="267"/>
      <c r="CA365" s="267"/>
      <c r="CB365" s="267"/>
    </row>
    <row r="366" spans="1:80" ht="12.75" x14ac:dyDescent="0.2">
      <c r="A366" s="312"/>
      <c r="B366" s="263"/>
      <c r="C366" s="263"/>
      <c r="D366" s="263"/>
      <c r="E366" s="263"/>
      <c r="F366" s="263"/>
      <c r="G366" s="506"/>
      <c r="H366" s="263"/>
      <c r="I366" s="263"/>
      <c r="J366" s="264"/>
      <c r="K366" s="263"/>
      <c r="L366" s="263"/>
      <c r="M366" s="263"/>
      <c r="N366" s="264"/>
      <c r="O366" s="263"/>
      <c r="P366" s="264"/>
      <c r="Q366" s="264"/>
      <c r="R366" s="264"/>
      <c r="S366" s="263"/>
      <c r="T366" s="263"/>
      <c r="U366" s="263"/>
      <c r="V366" s="263"/>
      <c r="W366" s="263"/>
      <c r="X366" s="263"/>
      <c r="Y366" s="263"/>
      <c r="Z366" s="263"/>
      <c r="AA366" s="263"/>
      <c r="AB366" s="264"/>
      <c r="AC366" s="263"/>
      <c r="AD366" s="264"/>
      <c r="AE366" s="264"/>
      <c r="AF366" s="263"/>
      <c r="AG366" s="263"/>
      <c r="AH366" s="263"/>
      <c r="AI366" s="263"/>
      <c r="AJ366" s="263"/>
      <c r="AK366" s="263"/>
      <c r="AL366" s="263"/>
      <c r="AM366" s="263"/>
      <c r="AN366" s="263"/>
      <c r="AO366" s="263"/>
      <c r="AP366" s="264"/>
      <c r="AQ366" s="264"/>
      <c r="AR366" s="263"/>
      <c r="AS366" s="264"/>
      <c r="AT366" s="264"/>
      <c r="AU366" s="263"/>
      <c r="AV366" s="263"/>
      <c r="AW366" s="263"/>
      <c r="AX366" s="263"/>
      <c r="AY366" s="263"/>
      <c r="AZ366" s="263"/>
      <c r="BA366" s="263"/>
      <c r="BB366" s="263"/>
      <c r="BC366" s="263"/>
      <c r="BD366" s="263"/>
      <c r="BE366" s="264"/>
      <c r="BF366" s="263"/>
      <c r="BG366" s="264"/>
      <c r="BH366" s="264"/>
      <c r="BI366" s="263"/>
      <c r="BJ366" s="263"/>
      <c r="BK366" s="263"/>
      <c r="BL366" s="263"/>
      <c r="BM366" s="263"/>
      <c r="BN366" s="263"/>
      <c r="BO366" s="263"/>
      <c r="BP366" s="263"/>
      <c r="BQ366" s="263"/>
      <c r="BR366" s="263"/>
      <c r="BS366" s="263"/>
    </row>
  </sheetData>
  <mergeCells count="193">
    <mergeCell ref="BJ311:BR311"/>
    <mergeCell ref="BF71:BF73"/>
    <mergeCell ref="BF53:BF55"/>
    <mergeCell ref="BF62:BF64"/>
    <mergeCell ref="BJ339:BR339"/>
    <mergeCell ref="BF239:BF240"/>
    <mergeCell ref="BF261:BF262"/>
    <mergeCell ref="BF215:BF216"/>
    <mergeCell ref="BF65:BF67"/>
    <mergeCell ref="BF68:BF70"/>
    <mergeCell ref="BF59:BF61"/>
    <mergeCell ref="BF56:BF58"/>
    <mergeCell ref="O239:O240"/>
    <mergeCell ref="O261:O262"/>
    <mergeCell ref="I324:I326"/>
    <mergeCell ref="AC215:AC216"/>
    <mergeCell ref="AC239:AC240"/>
    <mergeCell ref="AC261:AC262"/>
    <mergeCell ref="AV269:BD269"/>
    <mergeCell ref="AR215:AR216"/>
    <mergeCell ref="AR239:AR240"/>
    <mergeCell ref="I305:I307"/>
    <mergeCell ref="O215:O216"/>
    <mergeCell ref="I260:I262"/>
    <mergeCell ref="I238:I240"/>
    <mergeCell ref="I296:I298"/>
    <mergeCell ref="I299:I301"/>
    <mergeCell ref="I302:I304"/>
    <mergeCell ref="I263:I265"/>
    <mergeCell ref="AG311:AO311"/>
    <mergeCell ref="I220:I222"/>
    <mergeCell ref="AG339:AO339"/>
    <mergeCell ref="I257:I259"/>
    <mergeCell ref="AR11:AR14"/>
    <mergeCell ref="AR15:AR18"/>
    <mergeCell ref="AR19:AR22"/>
    <mergeCell ref="AR23:AR26"/>
    <mergeCell ref="BF11:BF14"/>
    <mergeCell ref="BF23:BF26"/>
    <mergeCell ref="I179:I181"/>
    <mergeCell ref="I293:I295"/>
    <mergeCell ref="I290:I292"/>
    <mergeCell ref="I246:I249"/>
    <mergeCell ref="I271:I274"/>
    <mergeCell ref="I275:I278"/>
    <mergeCell ref="I250:I253"/>
    <mergeCell ref="I283:I286"/>
    <mergeCell ref="I279:I282"/>
    <mergeCell ref="I217:I219"/>
    <mergeCell ref="I223:I225"/>
    <mergeCell ref="I226:I228"/>
    <mergeCell ref="I229:I231"/>
    <mergeCell ref="I232:I234"/>
    <mergeCell ref="I235:I237"/>
    <mergeCell ref="I214:I216"/>
    <mergeCell ref="I191:I194"/>
    <mergeCell ref="I156:I159"/>
    <mergeCell ref="I203:I206"/>
    <mergeCell ref="I71:I73"/>
    <mergeCell ref="I102:I105"/>
    <mergeCell ref="I106:I109"/>
    <mergeCell ref="I110:I113"/>
    <mergeCell ref="I118:I121"/>
    <mergeCell ref="I137:I139"/>
    <mergeCell ref="I195:I198"/>
    <mergeCell ref="I160:I163"/>
    <mergeCell ref="I199:I202"/>
    <mergeCell ref="I114:I117"/>
    <mergeCell ref="I167:I169"/>
    <mergeCell ref="I176:I178"/>
    <mergeCell ref="I170:I172"/>
    <mergeCell ref="I173:I175"/>
    <mergeCell ref="I148:I151"/>
    <mergeCell ref="I86:I89"/>
    <mergeCell ref="I93:I95"/>
    <mergeCell ref="I134:I136"/>
    <mergeCell ref="I82:I85"/>
    <mergeCell ref="AC68:AC70"/>
    <mergeCell ref="AC71:AC73"/>
    <mergeCell ref="I44:I46"/>
    <mergeCell ref="I50:I52"/>
    <mergeCell ref="I53:I55"/>
    <mergeCell ref="I47:I49"/>
    <mergeCell ref="AR41:AR43"/>
    <mergeCell ref="AC47:AC49"/>
    <mergeCell ref="O47:O49"/>
    <mergeCell ref="AR44:AR46"/>
    <mergeCell ref="AR68:AR70"/>
    <mergeCell ref="AC65:AC67"/>
    <mergeCell ref="AR65:AR67"/>
    <mergeCell ref="AC59:AC61"/>
    <mergeCell ref="AC62:AC64"/>
    <mergeCell ref="AC41:AC43"/>
    <mergeCell ref="AC44:AC46"/>
    <mergeCell ref="AR53:AR55"/>
    <mergeCell ref="AR59:AR61"/>
    <mergeCell ref="AR71:AR73"/>
    <mergeCell ref="AR56:AR58"/>
    <mergeCell ref="AR62:AR64"/>
    <mergeCell ref="I35:I37"/>
    <mergeCell ref="I68:I70"/>
    <mergeCell ref="I59:I61"/>
    <mergeCell ref="I62:I64"/>
    <mergeCell ref="I56:I58"/>
    <mergeCell ref="I41:I43"/>
    <mergeCell ref="O71:O73"/>
    <mergeCell ref="O38:O40"/>
    <mergeCell ref="O41:O43"/>
    <mergeCell ref="I65:I67"/>
    <mergeCell ref="O65:O67"/>
    <mergeCell ref="O44:O46"/>
    <mergeCell ref="O56:O58"/>
    <mergeCell ref="O50:O52"/>
    <mergeCell ref="O68:O70"/>
    <mergeCell ref="I38:I40"/>
    <mergeCell ref="I361:I363"/>
    <mergeCell ref="I352:I354"/>
    <mergeCell ref="I327:I329"/>
    <mergeCell ref="I330:I332"/>
    <mergeCell ref="I333:I335"/>
    <mergeCell ref="I355:I357"/>
    <mergeCell ref="I358:I360"/>
    <mergeCell ref="I313:I316"/>
    <mergeCell ref="I341:I344"/>
    <mergeCell ref="I317:I320"/>
    <mergeCell ref="I345:I348"/>
    <mergeCell ref="I207:I210"/>
    <mergeCell ref="I187:I190"/>
    <mergeCell ref="I152:I155"/>
    <mergeCell ref="S4:AA4"/>
    <mergeCell ref="S5:V5"/>
    <mergeCell ref="AG4:AO4"/>
    <mergeCell ref="AV4:BD4"/>
    <mergeCell ref="BJ4:BR4"/>
    <mergeCell ref="K5:L5"/>
    <mergeCell ref="AG5:AJ5"/>
    <mergeCell ref="AV5:AY5"/>
    <mergeCell ref="BJ5:BM5"/>
    <mergeCell ref="AT1:AT6"/>
    <mergeCell ref="BH1:BH6"/>
    <mergeCell ref="AE1:AE6"/>
    <mergeCell ref="Q1:Q6"/>
    <mergeCell ref="I15:I18"/>
    <mergeCell ref="I19:I22"/>
    <mergeCell ref="I23:I26"/>
    <mergeCell ref="I27:I30"/>
    <mergeCell ref="I31:I34"/>
    <mergeCell ref="O59:O61"/>
    <mergeCell ref="O11:O14"/>
    <mergeCell ref="BF41:BF43"/>
    <mergeCell ref="BF19:BF22"/>
    <mergeCell ref="AR27:AR30"/>
    <mergeCell ref="AR31:AR34"/>
    <mergeCell ref="O23:O26"/>
    <mergeCell ref="BF44:BF46"/>
    <mergeCell ref="BF47:BF49"/>
    <mergeCell ref="BF50:BF52"/>
    <mergeCell ref="O53:O55"/>
    <mergeCell ref="AC50:AC52"/>
    <mergeCell ref="BF27:BF30"/>
    <mergeCell ref="BF31:BF34"/>
    <mergeCell ref="O31:O34"/>
    <mergeCell ref="O27:O30"/>
    <mergeCell ref="AR47:AR49"/>
    <mergeCell ref="AR50:AR52"/>
    <mergeCell ref="AR35:AR37"/>
    <mergeCell ref="AC35:AC37"/>
    <mergeCell ref="AC38:AC40"/>
    <mergeCell ref="AR38:AR40"/>
    <mergeCell ref="E3:H4"/>
    <mergeCell ref="O138:O139"/>
    <mergeCell ref="AC138:AC139"/>
    <mergeCell ref="AR138:AR139"/>
    <mergeCell ref="BF138:BF139"/>
    <mergeCell ref="I125:I127"/>
    <mergeCell ref="I128:I130"/>
    <mergeCell ref="I131:I133"/>
    <mergeCell ref="O35:O37"/>
    <mergeCell ref="BF15:BF18"/>
    <mergeCell ref="BF35:BF37"/>
    <mergeCell ref="O15:O18"/>
    <mergeCell ref="O19:O22"/>
    <mergeCell ref="AC11:AC14"/>
    <mergeCell ref="AC15:AC18"/>
    <mergeCell ref="AC19:AC22"/>
    <mergeCell ref="AC23:AC26"/>
    <mergeCell ref="AC27:AC30"/>
    <mergeCell ref="AC31:AC34"/>
    <mergeCell ref="BF38:BF40"/>
    <mergeCell ref="O62:O64"/>
    <mergeCell ref="AC53:AC55"/>
    <mergeCell ref="AC56:AC58"/>
    <mergeCell ref="I11:I14"/>
  </mergeCells>
  <pageMargins left="0.7" right="0.7" top="0.75" bottom="0.75" header="0.3" footer="0.3"/>
  <pageSetup paperSize="8" scale="22" fitToHeight="0" orientation="landscape" r:id="rId1"/>
  <ignoredErrors>
    <ignoredError sqref="Y70:AA70 Y12:AA12 Y26:AA26 Y43:AA43 Y67:AA67 T151 T181 T178 T175 T172 T169 Y221:Y222 W195 Y258:Y259 Y247:Y249 Y272 Y274 Y278 Y282 W283 T297:W298 T318:V318 T320:W320 W317:W319 W316:X316 X318 Y276 Y280 AM272 AM291:AM292 AK315:AK319 W315 T153 T157 T161 T155 T159 Y230:Y231 W229 Y233:Y234 W232 Y236:Y237 W235 W296 T300:W301 T303:W304 Y284 AM278 AM274 AM298 AM280 AM276 Y14:AA14 Y16:AA16 Y18:AA18 Y20:AA20 Y22:AA22 Y24:AA24 Y28:AA28 Y30:AA30 Y32:AA32 Y34:AA34 Y37:AA37 Y40:AA40 Y46:AA46 Y49:AA49 Y52:AA52 Y55:AA55 Y58:AA58 Y61:AA61 Y64:AA64 T323:W323 Y224:Y225 Y227:Y228 Y261:Y262 AM294 AM301 AM304 S64:X64 S61:X61 S58:X58 S55:X55 S52:X52 S49:X49 S46:X46 S40:X40 S37:X37 S34:X34 S32:X32 S30:X30 S28:X28 S24:X24 S22:X22 S20:X20 S18:X18 S16:X16 S14:X14 X284 W236:X238 W233:X234 W230:X231 X271:X282 W220:X228 S67:X67 S43:X43 S26:X26 S12:X12 S70:X7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19"/>
  <sheetViews>
    <sheetView showGridLines="0" tabSelected="1" zoomScale="80" zoomScaleNormal="80" workbookViewId="0">
      <selection activeCell="E29" sqref="E29"/>
    </sheetView>
  </sheetViews>
  <sheetFormatPr defaultRowHeight="12.75" x14ac:dyDescent="0.2"/>
  <cols>
    <col min="1" max="1" width="4.28515625" style="18" customWidth="1"/>
    <col min="2" max="2" width="14.28515625" style="18" bestFit="1" customWidth="1"/>
    <col min="3" max="3" width="15.5703125" style="18" customWidth="1"/>
    <col min="4" max="4" width="14.7109375" style="18" bestFit="1" customWidth="1"/>
    <col min="5" max="5" width="16" style="18" bestFit="1" customWidth="1"/>
    <col min="6" max="6" width="19.7109375" style="18" customWidth="1"/>
    <col min="7" max="7" width="18" style="31" bestFit="1" customWidth="1"/>
    <col min="8" max="8" width="9.140625" style="18" bestFit="1" customWidth="1"/>
    <col min="9" max="9" width="12.140625" style="18" bestFit="1" customWidth="1"/>
    <col min="10" max="10" width="7.7109375" style="18" customWidth="1"/>
    <col min="11" max="11" width="12.140625" style="18" bestFit="1" customWidth="1"/>
    <col min="12" max="18" width="7.7109375" style="18" customWidth="1"/>
    <col min="19" max="19" width="7.5703125" style="21" bestFit="1" customWidth="1"/>
    <col min="20" max="20" width="3.5703125" style="21" customWidth="1"/>
    <col min="21" max="21" width="82.7109375" style="21" bestFit="1" customWidth="1"/>
    <col min="22" max="24" width="9.140625" style="21"/>
    <col min="25" max="16384" width="9.140625" style="18"/>
  </cols>
  <sheetData>
    <row r="1" spans="1:24" x14ac:dyDescent="0.2">
      <c r="A1" s="263"/>
      <c r="B1" s="263"/>
      <c r="C1" s="263"/>
      <c r="D1" s="263"/>
      <c r="E1" s="263"/>
      <c r="F1" s="263"/>
      <c r="G1" s="265"/>
      <c r="H1" s="263"/>
      <c r="I1" s="263"/>
      <c r="J1" s="263"/>
      <c r="K1" s="263"/>
      <c r="L1" s="263"/>
    </row>
    <row r="2" spans="1:24" s="51" customFormat="1" x14ac:dyDescent="0.2">
      <c r="B2" s="51" t="s">
        <v>0</v>
      </c>
      <c r="C2" s="52" t="str">
        <f ca="1">MID(CELL("filename",A1),FIND("]",CELL("filename",A1))+1,256)</f>
        <v>Inputs_Switchers</v>
      </c>
      <c r="D2" s="52"/>
      <c r="S2" s="62"/>
      <c r="T2" s="62"/>
      <c r="U2" s="62"/>
      <c r="V2" s="62"/>
      <c r="W2" s="62"/>
      <c r="X2" s="62"/>
    </row>
    <row r="3" spans="1:24" s="51" customFormat="1" x14ac:dyDescent="0.2">
      <c r="B3" s="51" t="s">
        <v>1</v>
      </c>
      <c r="C3" s="51" t="s">
        <v>544</v>
      </c>
      <c r="S3" s="62"/>
      <c r="T3" s="62"/>
      <c r="U3" s="62"/>
      <c r="V3" s="62"/>
      <c r="W3" s="62"/>
      <c r="X3" s="62"/>
    </row>
    <row r="4" spans="1:24" s="51" customFormat="1" x14ac:dyDescent="0.2">
      <c r="S4" s="62"/>
      <c r="T4" s="60"/>
      <c r="U4" s="62"/>
      <c r="V4" s="62"/>
      <c r="W4" s="62"/>
      <c r="X4" s="62"/>
    </row>
    <row r="5" spans="1:24" s="85" customFormat="1" x14ac:dyDescent="0.2">
      <c r="A5" s="53"/>
      <c r="B5" s="53"/>
      <c r="C5" s="53"/>
      <c r="D5" s="53"/>
      <c r="E5" s="53"/>
      <c r="F5" s="53"/>
      <c r="G5" s="53"/>
      <c r="H5" s="53"/>
      <c r="I5" s="53"/>
      <c r="J5" s="53"/>
      <c r="K5" s="53"/>
      <c r="L5" s="53"/>
      <c r="M5" s="53"/>
      <c r="N5" s="53"/>
      <c r="O5" s="53"/>
      <c r="P5" s="53"/>
      <c r="Q5" s="53"/>
      <c r="R5" s="53"/>
      <c r="T5" s="86"/>
    </row>
    <row r="6" spans="1:24" x14ac:dyDescent="0.2">
      <c r="A6" s="263"/>
      <c r="B6" s="263"/>
      <c r="C6" s="263"/>
      <c r="D6" s="263"/>
      <c r="E6" s="263"/>
      <c r="F6" s="263"/>
      <c r="G6" s="265"/>
      <c r="H6" s="263"/>
      <c r="I6" s="263"/>
      <c r="J6" s="263"/>
      <c r="K6" s="263"/>
      <c r="L6" s="263"/>
    </row>
    <row r="7" spans="1:24" s="21" customFormat="1" x14ac:dyDescent="0.2">
      <c r="A7" s="263"/>
      <c r="B7" s="34" t="s">
        <v>545</v>
      </c>
      <c r="C7" s="34"/>
      <c r="D7" s="34"/>
      <c r="E7" s="34"/>
      <c r="F7" s="34"/>
      <c r="G7" s="34"/>
      <c r="H7" s="34"/>
      <c r="I7" s="34"/>
      <c r="J7" s="34"/>
      <c r="K7" s="34"/>
      <c r="L7" s="34"/>
      <c r="M7" s="34"/>
      <c r="N7" s="34"/>
      <c r="O7" s="34"/>
      <c r="P7" s="34"/>
      <c r="Q7" s="34"/>
      <c r="R7" s="34"/>
    </row>
    <row r="8" spans="1:24" s="21" customFormat="1" ht="13.5" thickBot="1" x14ac:dyDescent="0.25">
      <c r="A8" s="264"/>
      <c r="B8" s="24"/>
      <c r="C8" s="24"/>
      <c r="D8" s="41"/>
      <c r="E8" s="41"/>
      <c r="F8" s="41"/>
      <c r="G8" s="41"/>
      <c r="H8" s="41"/>
      <c r="I8" s="41"/>
      <c r="J8" s="264"/>
      <c r="K8" s="264"/>
      <c r="L8" s="264"/>
    </row>
    <row r="9" spans="1:24" s="21" customFormat="1" ht="13.5" thickBot="1" x14ac:dyDescent="0.25">
      <c r="A9" s="264"/>
      <c r="B9" s="146" t="s">
        <v>45</v>
      </c>
      <c r="C9" s="147" t="s">
        <v>235</v>
      </c>
      <c r="D9" s="71"/>
      <c r="E9" s="41"/>
      <c r="F9" s="71"/>
      <c r="G9" s="41"/>
      <c r="H9" s="71"/>
      <c r="I9" s="265"/>
      <c r="J9" s="264"/>
      <c r="K9" s="264"/>
      <c r="L9" s="264"/>
    </row>
    <row r="10" spans="1:24" s="21" customFormat="1" ht="15" x14ac:dyDescent="0.25">
      <c r="A10" s="264"/>
      <c r="B10" s="247" t="s">
        <v>59</v>
      </c>
      <c r="C10" s="701"/>
      <c r="D10" s="704" t="s">
        <v>546</v>
      </c>
      <c r="F10" s="284"/>
      <c r="G10" s="284"/>
      <c r="H10" s="284"/>
      <c r="I10" s="265"/>
      <c r="J10" s="264"/>
      <c r="K10" s="264"/>
      <c r="L10" s="264"/>
    </row>
    <row r="11" spans="1:24" s="21" customFormat="1" ht="15" x14ac:dyDescent="0.25">
      <c r="A11" s="264"/>
      <c r="B11" s="248" t="s">
        <v>56</v>
      </c>
      <c r="C11" s="702"/>
      <c r="D11" s="704" t="s">
        <v>546</v>
      </c>
      <c r="E11" s="284"/>
      <c r="F11" s="284"/>
      <c r="G11" s="284"/>
      <c r="H11" s="284"/>
      <c r="I11" s="265"/>
      <c r="J11" s="264"/>
      <c r="K11" s="264"/>
      <c r="L11" s="264"/>
    </row>
    <row r="12" spans="1:24" s="21" customFormat="1" ht="15" x14ac:dyDescent="0.25">
      <c r="A12" s="264"/>
      <c r="B12" s="248" t="s">
        <v>63</v>
      </c>
      <c r="C12" s="702"/>
      <c r="D12" s="704" t="s">
        <v>546</v>
      </c>
      <c r="E12" s="284"/>
      <c r="F12" s="284"/>
      <c r="G12" s="284"/>
      <c r="H12" s="284"/>
      <c r="I12" s="265"/>
      <c r="J12" s="264"/>
      <c r="K12" s="264"/>
      <c r="L12" s="264"/>
    </row>
    <row r="13" spans="1:24" s="21" customFormat="1" ht="15" x14ac:dyDescent="0.25">
      <c r="A13" s="264"/>
      <c r="B13" s="248" t="s">
        <v>62</v>
      </c>
      <c r="C13" s="702"/>
      <c r="D13" s="704" t="s">
        <v>546</v>
      </c>
      <c r="E13" s="284"/>
      <c r="F13" s="284"/>
      <c r="G13" s="284"/>
      <c r="H13" s="284"/>
      <c r="I13" s="265"/>
      <c r="J13" s="264"/>
      <c r="K13" s="264"/>
      <c r="L13" s="264"/>
    </row>
    <row r="14" spans="1:24" s="21" customFormat="1" ht="15.75" thickBot="1" x14ac:dyDescent="0.3">
      <c r="A14" s="264"/>
      <c r="B14" s="287" t="s">
        <v>96</v>
      </c>
      <c r="C14" s="703"/>
      <c r="D14" s="704" t="s">
        <v>546</v>
      </c>
      <c r="E14" s="284"/>
      <c r="F14" s="284"/>
      <c r="G14" s="284"/>
      <c r="H14" s="284"/>
      <c r="I14" s="265"/>
      <c r="J14" s="264"/>
      <c r="K14" s="264"/>
      <c r="L14" s="264"/>
    </row>
    <row r="15" spans="1:24" s="21" customFormat="1" ht="13.5" thickBot="1" x14ac:dyDescent="0.25">
      <c r="A15" s="264"/>
      <c r="B15" s="144" t="s">
        <v>229</v>
      </c>
      <c r="C15" s="249">
        <v>883820.80200224102</v>
      </c>
      <c r="D15" s="697"/>
      <c r="E15" s="285"/>
      <c r="F15" s="285"/>
      <c r="G15" s="285"/>
      <c r="H15" s="285"/>
      <c r="I15" s="265"/>
      <c r="J15" s="264"/>
      <c r="K15" s="264"/>
      <c r="L15" s="264"/>
    </row>
    <row r="16" spans="1:24" s="21" customFormat="1" x14ac:dyDescent="0.2">
      <c r="A16" s="264"/>
      <c r="B16" s="24"/>
      <c r="C16" s="43"/>
      <c r="D16" s="41"/>
      <c r="E16" s="41"/>
      <c r="F16" s="41"/>
      <c r="G16" s="41"/>
      <c r="H16" s="41"/>
      <c r="I16" s="41"/>
      <c r="J16" s="264"/>
      <c r="K16" s="264"/>
      <c r="L16" s="264"/>
    </row>
    <row r="17" spans="1:18" s="21" customFormat="1" x14ac:dyDescent="0.2">
      <c r="A17" s="263"/>
      <c r="B17" s="145"/>
      <c r="C17" s="145"/>
      <c r="D17" s="145"/>
      <c r="E17" s="145"/>
      <c r="F17" s="145"/>
      <c r="G17" s="286"/>
      <c r="H17" s="39"/>
      <c r="I17" s="39"/>
      <c r="J17" s="263"/>
      <c r="K17" s="263"/>
      <c r="L17" s="263"/>
      <c r="M17" s="18"/>
      <c r="N17" s="18"/>
      <c r="O17" s="18"/>
      <c r="P17" s="18"/>
      <c r="Q17" s="18"/>
      <c r="R17" s="18"/>
    </row>
    <row r="18" spans="1:18" x14ac:dyDescent="0.2">
      <c r="A18" s="263"/>
      <c r="B18" s="263"/>
      <c r="C18" s="263"/>
      <c r="D18" s="39"/>
      <c r="E18" s="265"/>
      <c r="F18" s="39"/>
      <c r="G18" s="39"/>
      <c r="H18" s="39"/>
      <c r="I18" s="39"/>
      <c r="J18" s="263"/>
      <c r="K18" s="263"/>
      <c r="L18" s="263"/>
    </row>
    <row r="19" spans="1:18" x14ac:dyDescent="0.2">
      <c r="A19" s="263"/>
      <c r="B19" s="263"/>
      <c r="C19" s="263"/>
      <c r="D19" s="263"/>
      <c r="E19" s="263"/>
      <c r="F19" s="263"/>
      <c r="G19" s="265"/>
      <c r="H19" s="263"/>
      <c r="I19" s="263"/>
      <c r="J19" s="263"/>
      <c r="K19" s="263"/>
      <c r="L19" s="263"/>
    </row>
  </sheetData>
  <pageMargins left="0.7" right="0.7" top="0.75" bottom="0.75" header="0.3" footer="0.3"/>
  <pageSetup paperSize="9"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
  <sheetViews>
    <sheetView topLeftCell="A1048576" workbookViewId="0">
      <selection activeCell="R56" sqref="R56"/>
    </sheetView>
  </sheetViews>
  <sheetFormatPr defaultRowHeight="15" customHeight="1" zeroHeight="1" x14ac:dyDescent="0.25"/>
  <sheetData>
    <row r="1" hidden="1"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77"/>
  <sheetViews>
    <sheetView showGridLines="0" zoomScale="80" zoomScaleNormal="80" workbookViewId="0">
      <pane ySplit="5" topLeftCell="A36" activePane="bottomLeft" state="frozen"/>
      <selection activeCell="R56" sqref="R56"/>
      <selection pane="bottomLeft" activeCell="G57" sqref="G57"/>
    </sheetView>
  </sheetViews>
  <sheetFormatPr defaultRowHeight="15" x14ac:dyDescent="0.25"/>
  <cols>
    <col min="1" max="1" width="3.28515625" customWidth="1"/>
    <col min="2" max="2" width="14.28515625" bestFit="1" customWidth="1"/>
    <col min="3" max="3" width="38.28515625" customWidth="1"/>
    <col min="4" max="4" width="8.28515625" bestFit="1" customWidth="1"/>
    <col min="5" max="5" width="14.85546875" bestFit="1" customWidth="1"/>
    <col min="6" max="6" width="52.42578125" bestFit="1" customWidth="1"/>
    <col min="7" max="8" width="13.140625" bestFit="1" customWidth="1"/>
    <col min="9" max="10" width="14.42578125" bestFit="1" customWidth="1"/>
    <col min="11" max="11" width="13.140625" bestFit="1" customWidth="1"/>
    <col min="12" max="12" width="11" bestFit="1" customWidth="1"/>
    <col min="13" max="13" width="11.85546875" bestFit="1" customWidth="1"/>
    <col min="14" max="14" width="11" bestFit="1" customWidth="1"/>
    <col min="15" max="15" width="13.140625" bestFit="1" customWidth="1"/>
    <col min="17" max="17" width="11" bestFit="1" customWidth="1"/>
    <col min="18" max="18" width="10" bestFit="1" customWidth="1"/>
  </cols>
  <sheetData>
    <row r="1" spans="1:27" x14ac:dyDescent="0.25">
      <c r="A1" s="117"/>
      <c r="B1" s="117"/>
      <c r="C1" s="44"/>
      <c r="D1" s="44"/>
      <c r="E1" s="44"/>
      <c r="F1" s="118"/>
      <c r="G1" s="263"/>
      <c r="H1" s="263"/>
      <c r="I1" s="263"/>
      <c r="J1" s="263"/>
      <c r="K1" s="263"/>
      <c r="L1" s="263"/>
      <c r="M1" s="263"/>
      <c r="N1" s="263"/>
      <c r="O1" s="263"/>
      <c r="P1" s="263"/>
      <c r="Q1" s="263"/>
    </row>
    <row r="2" spans="1:27" x14ac:dyDescent="0.25">
      <c r="A2" s="117"/>
      <c r="B2" s="117" t="s">
        <v>0</v>
      </c>
      <c r="C2" s="119" t="str">
        <f ca="1">MID(CELL("filename",A1),FIND("]",CELL("filename",A1))+1,256)</f>
        <v>GPL-EMP Process Workings</v>
      </c>
      <c r="D2" s="44"/>
      <c r="E2" s="44"/>
      <c r="F2" s="118"/>
      <c r="G2" s="263"/>
      <c r="H2" s="263"/>
      <c r="I2" s="263"/>
      <c r="J2" s="263"/>
      <c r="K2" s="263"/>
      <c r="L2" s="263"/>
      <c r="M2" s="263"/>
      <c r="N2" s="263"/>
      <c r="O2" s="263"/>
      <c r="P2" s="263"/>
      <c r="Q2" s="263"/>
    </row>
    <row r="3" spans="1:27" x14ac:dyDescent="0.25">
      <c r="A3" s="117"/>
      <c r="B3" s="117" t="s">
        <v>1</v>
      </c>
      <c r="C3" s="118" t="s">
        <v>319</v>
      </c>
      <c r="D3" s="44"/>
      <c r="E3" s="44"/>
      <c r="F3" s="118"/>
      <c r="G3" s="263"/>
      <c r="H3" s="263"/>
      <c r="I3" s="263"/>
      <c r="J3" s="263"/>
      <c r="K3" s="263"/>
      <c r="L3" s="263"/>
      <c r="M3" s="263"/>
      <c r="N3" s="263"/>
      <c r="O3" s="263"/>
      <c r="P3" s="263"/>
      <c r="Q3" s="263"/>
    </row>
    <row r="4" spans="1:27" x14ac:dyDescent="0.25">
      <c r="A4" s="117"/>
      <c r="B4" s="117"/>
      <c r="C4" s="44"/>
      <c r="D4" s="44"/>
      <c r="E4" s="44"/>
      <c r="F4" s="118"/>
      <c r="G4" s="710" t="s">
        <v>83</v>
      </c>
      <c r="H4" s="710"/>
      <c r="I4" s="710"/>
      <c r="J4" s="710"/>
      <c r="K4" s="263"/>
      <c r="L4" s="263"/>
      <c r="M4" s="263"/>
      <c r="N4" s="263"/>
      <c r="O4" s="264"/>
      <c r="P4" s="263"/>
      <c r="Q4" s="263"/>
    </row>
    <row r="5" spans="1:27" x14ac:dyDescent="0.25">
      <c r="A5" s="120"/>
      <c r="B5" s="120" t="s">
        <v>27</v>
      </c>
      <c r="C5" s="121" t="s">
        <v>28</v>
      </c>
      <c r="D5" s="121" t="s">
        <v>29</v>
      </c>
      <c r="E5" s="121" t="s">
        <v>130</v>
      </c>
      <c r="F5" s="122" t="s">
        <v>173</v>
      </c>
      <c r="G5" s="19" t="s">
        <v>59</v>
      </c>
      <c r="H5" s="19" t="s">
        <v>62</v>
      </c>
      <c r="I5" s="19" t="s">
        <v>56</v>
      </c>
      <c r="J5" s="19" t="s">
        <v>72</v>
      </c>
      <c r="K5" s="19" t="s">
        <v>46</v>
      </c>
      <c r="L5" s="19" t="s">
        <v>79</v>
      </c>
      <c r="M5" s="19" t="s">
        <v>82</v>
      </c>
      <c r="N5" s="19" t="s">
        <v>81</v>
      </c>
      <c r="O5" s="19" t="s">
        <v>90</v>
      </c>
      <c r="P5" s="263"/>
      <c r="Q5" s="263"/>
    </row>
    <row r="6" spans="1:27" x14ac:dyDescent="0.25">
      <c r="A6" s="117"/>
      <c r="B6" s="117"/>
      <c r="C6" s="44"/>
      <c r="D6" s="44"/>
      <c r="E6" s="44"/>
      <c r="F6" s="118"/>
      <c r="G6" s="263"/>
      <c r="H6" s="263"/>
      <c r="I6" s="263"/>
      <c r="J6" s="263"/>
      <c r="K6" s="263"/>
      <c r="L6" s="263"/>
      <c r="M6" s="263"/>
      <c r="N6" s="263"/>
      <c r="O6" s="263"/>
      <c r="P6" s="263"/>
      <c r="Q6" s="263"/>
    </row>
    <row r="7" spans="1:27" x14ac:dyDescent="0.25">
      <c r="A7" s="117"/>
      <c r="B7" s="123" t="s">
        <v>174</v>
      </c>
      <c r="C7" s="44" t="s">
        <v>43</v>
      </c>
      <c r="D7" s="44"/>
      <c r="E7" s="44"/>
      <c r="F7" s="118"/>
      <c r="G7" s="130">
        <f>SUMIF($E$11:$E$73,"CAPEX",G11:G73)</f>
        <v>117196.66666666667</v>
      </c>
      <c r="H7" s="130">
        <f t="shared" ref="H7:N7" si="0">SUMIF($E$11:$E$73,"CAPEX",H11:H73)</f>
        <v>119363.33333333334</v>
      </c>
      <c r="I7" s="130">
        <f t="shared" si="0"/>
        <v>117196.66666666667</v>
      </c>
      <c r="J7" s="130">
        <f t="shared" si="0"/>
        <v>117196.66666666667</v>
      </c>
      <c r="K7" s="672">
        <f t="shared" si="0"/>
        <v>0</v>
      </c>
      <c r="L7" s="130">
        <f t="shared" si="0"/>
        <v>25373.333333333336</v>
      </c>
      <c r="M7" s="130">
        <f t="shared" si="0"/>
        <v>86606.755555555574</v>
      </c>
      <c r="N7" s="130">
        <f t="shared" si="0"/>
        <v>10531.671111111113</v>
      </c>
      <c r="O7" s="130">
        <f>SUMIF($E$11:$E$73,"CAPEX",O11:O73)</f>
        <v>27720</v>
      </c>
      <c r="P7" s="263"/>
      <c r="Q7" s="263"/>
    </row>
    <row r="8" spans="1:27" x14ac:dyDescent="0.25">
      <c r="A8" s="117"/>
      <c r="B8" s="117"/>
      <c r="C8" s="44" t="s">
        <v>42</v>
      </c>
      <c r="D8" s="44"/>
      <c r="E8" s="44"/>
      <c r="F8" s="118"/>
      <c r="G8" s="130">
        <f t="shared" ref="G8:O8" si="1">SUMIF($E$12:$E$73,"OPEX",G12:G73)/(1+CAPEX_Factor)</f>
        <v>23439.333333333336</v>
      </c>
      <c r="H8" s="130">
        <f t="shared" si="1"/>
        <v>23872.666666666672</v>
      </c>
      <c r="I8" s="130">
        <f t="shared" si="1"/>
        <v>23439.333333333336</v>
      </c>
      <c r="J8" s="130">
        <f t="shared" si="1"/>
        <v>23439.333333333336</v>
      </c>
      <c r="K8" s="672">
        <f t="shared" si="1"/>
        <v>0</v>
      </c>
      <c r="L8" s="130">
        <f t="shared" si="1"/>
        <v>5074.6666666666679</v>
      </c>
      <c r="M8" s="130">
        <f t="shared" si="1"/>
        <v>17321.351111111115</v>
      </c>
      <c r="N8" s="130">
        <f t="shared" si="1"/>
        <v>2106.3342222222227</v>
      </c>
      <c r="O8" s="130">
        <f t="shared" si="1"/>
        <v>5544</v>
      </c>
      <c r="P8" s="263"/>
      <c r="Q8" s="263"/>
    </row>
    <row r="9" spans="1:27" x14ac:dyDescent="0.25">
      <c r="A9" s="117"/>
      <c r="B9" s="124"/>
      <c r="C9" s="125" t="s">
        <v>175</v>
      </c>
      <c r="D9" s="125"/>
      <c r="E9" s="125"/>
      <c r="F9" s="126"/>
      <c r="G9" s="126"/>
      <c r="H9" s="126"/>
      <c r="I9" s="126"/>
      <c r="J9" s="126"/>
      <c r="K9" s="126"/>
      <c r="L9" s="126"/>
      <c r="M9" s="126"/>
      <c r="N9" s="126"/>
      <c r="O9" s="126"/>
      <c r="P9" s="263"/>
      <c r="Q9" s="263"/>
    </row>
    <row r="10" spans="1:27" x14ac:dyDescent="0.25">
      <c r="A10" s="127"/>
      <c r="B10" s="124"/>
      <c r="C10" s="124"/>
      <c r="D10" s="124"/>
      <c r="E10" s="124"/>
      <c r="F10" s="128"/>
      <c r="G10" s="263"/>
      <c r="H10" s="263"/>
      <c r="I10" s="263"/>
      <c r="J10" s="263"/>
      <c r="K10" s="263"/>
      <c r="L10" s="263"/>
      <c r="M10" s="263"/>
      <c r="N10" s="263"/>
      <c r="O10" s="263"/>
      <c r="P10" s="263"/>
      <c r="Q10" s="263"/>
    </row>
    <row r="11" spans="1:27" x14ac:dyDescent="0.25">
      <c r="A11" s="117"/>
      <c r="B11" s="124"/>
      <c r="C11" s="44" t="s">
        <v>175</v>
      </c>
      <c r="D11" s="44" t="s">
        <v>51</v>
      </c>
      <c r="E11" s="44" t="s">
        <v>50</v>
      </c>
      <c r="F11" s="118" t="s">
        <v>214</v>
      </c>
      <c r="G11" s="673">
        <f>Inputs_Delivery_Effort!S11</f>
        <v>50.160000000000004</v>
      </c>
      <c r="H11" s="673">
        <f>Inputs_Delivery_Effort!T11</f>
        <v>50.160000000000004</v>
      </c>
      <c r="I11" s="673">
        <f>Inputs_Delivery_Effort!U11</f>
        <v>50.160000000000004</v>
      </c>
      <c r="J11" s="673">
        <f>Inputs_Delivery_Effort!V11</f>
        <v>50.160000000000004</v>
      </c>
      <c r="K11" s="673">
        <f>Inputs_Delivery_Effort!W11</f>
        <v>0</v>
      </c>
      <c r="L11" s="673">
        <f>Inputs_Delivery_Effort!X11</f>
        <v>0</v>
      </c>
      <c r="M11" s="673">
        <f>Inputs_Delivery_Effort!Y11</f>
        <v>15.84</v>
      </c>
      <c r="N11" s="673">
        <f>Inputs_Delivery_Effort!Z11</f>
        <v>3.3000000000000003</v>
      </c>
      <c r="O11" s="673">
        <f>Inputs_Delivery_Effort!AA11</f>
        <v>12.540000000000001</v>
      </c>
      <c r="P11" s="263"/>
      <c r="Q11" s="263"/>
      <c r="R11" s="262"/>
      <c r="S11" s="262"/>
      <c r="T11" s="262"/>
      <c r="U11" s="262"/>
      <c r="V11" s="262"/>
      <c r="W11" s="262"/>
      <c r="X11" s="262"/>
      <c r="Y11" s="262"/>
      <c r="Z11" s="262"/>
      <c r="AA11" s="262"/>
    </row>
    <row r="12" spans="1:27" x14ac:dyDescent="0.25">
      <c r="A12" s="129"/>
      <c r="B12" s="124"/>
      <c r="C12" s="44" t="s">
        <v>175</v>
      </c>
      <c r="D12" s="44" t="s">
        <v>51</v>
      </c>
      <c r="E12" s="44" t="s">
        <v>50</v>
      </c>
      <c r="F12" s="118" t="s">
        <v>117</v>
      </c>
      <c r="G12" s="674">
        <f>Inputs_Delivery_Effort!S13</f>
        <v>2.08</v>
      </c>
      <c r="H12" s="674">
        <f>Inputs_Delivery_Effort!T13</f>
        <v>2.4800000000000004</v>
      </c>
      <c r="I12" s="674">
        <f>Inputs_Delivery_Effort!U13</f>
        <v>2.08</v>
      </c>
      <c r="J12" s="674">
        <f>Inputs_Delivery_Effort!V13</f>
        <v>2.08</v>
      </c>
      <c r="K12" s="674">
        <f>Inputs_Delivery_Effort!W13</f>
        <v>0</v>
      </c>
      <c r="L12" s="674">
        <f>Inputs_Delivery_Effort!X13</f>
        <v>0</v>
      </c>
      <c r="M12" s="674">
        <f>Inputs_Delivery_Effort!Y13</f>
        <v>1.28</v>
      </c>
      <c r="N12" s="674">
        <f>Inputs_Delivery_Effort!Z13</f>
        <v>1.28</v>
      </c>
      <c r="O12" s="674">
        <f>Inputs_Delivery_Effort!AA13</f>
        <v>0</v>
      </c>
      <c r="P12" s="263"/>
      <c r="Q12" s="263"/>
    </row>
    <row r="13" spans="1:27" x14ac:dyDescent="0.25">
      <c r="A13" s="117"/>
      <c r="B13" s="124"/>
      <c r="C13" s="44" t="s">
        <v>175</v>
      </c>
      <c r="D13" s="44" t="s">
        <v>48</v>
      </c>
      <c r="E13" s="44" t="s">
        <v>50</v>
      </c>
      <c r="F13" s="118" t="s">
        <v>116</v>
      </c>
      <c r="G13" s="671">
        <f>Inputs_Delivery_Effort!S14</f>
        <v>0</v>
      </c>
      <c r="H13" s="671">
        <f>Inputs_Delivery_Effort!T14</f>
        <v>0</v>
      </c>
      <c r="I13" s="671">
        <f>Inputs_Delivery_Effort!U14</f>
        <v>0</v>
      </c>
      <c r="J13" s="671">
        <f>Inputs_Delivery_Effort!V14</f>
        <v>0</v>
      </c>
      <c r="K13" s="671">
        <f>Inputs_Delivery_Effort!W14</f>
        <v>0</v>
      </c>
      <c r="L13" s="671">
        <f>Inputs_Delivery_Effort!X14</f>
        <v>0</v>
      </c>
      <c r="M13" s="671">
        <f>Inputs_Delivery_Effort!Y14</f>
        <v>100</v>
      </c>
      <c r="N13" s="671">
        <f>Inputs_Delivery_Effort!Z14</f>
        <v>5</v>
      </c>
      <c r="O13" s="671">
        <f>Inputs_Delivery_Effort!AA14</f>
        <v>0</v>
      </c>
      <c r="P13" s="263"/>
      <c r="Q13" s="263"/>
    </row>
    <row r="14" spans="1:27" x14ac:dyDescent="0.25">
      <c r="A14" s="117"/>
      <c r="B14" s="124"/>
      <c r="C14" s="44" t="s">
        <v>175</v>
      </c>
      <c r="D14" s="44" t="s">
        <v>30</v>
      </c>
      <c r="E14" s="44" t="s">
        <v>50</v>
      </c>
      <c r="F14" s="118" t="s">
        <v>70</v>
      </c>
      <c r="G14" s="112">
        <f>Inputs_CPs!F$11</f>
        <v>142.97777777777776</v>
      </c>
      <c r="H14" s="112">
        <f>Inputs_CPs!G$11</f>
        <v>142.97777777777776</v>
      </c>
      <c r="I14" s="112">
        <f>Inputs_CPs!H$11</f>
        <v>142.97777777777776</v>
      </c>
      <c r="J14" s="112">
        <f>Inputs_CPs!I$11</f>
        <v>142.97777777777776</v>
      </c>
      <c r="K14" s="112">
        <f>Inputs_CPs!N$11</f>
        <v>142.97777777777776</v>
      </c>
      <c r="L14" s="112">
        <f>Inputs_CPs!O$11</f>
        <v>142.97777777777776</v>
      </c>
      <c r="M14" s="112">
        <f>Inputs_CPs!K$11</f>
        <v>142.97777777777776</v>
      </c>
      <c r="N14" s="112">
        <f>Inputs_CPs!L$11</f>
        <v>142.97777777777776</v>
      </c>
      <c r="O14" s="112">
        <f>Inputs_CPs!M$11</f>
        <v>142.97777777777776</v>
      </c>
      <c r="P14" s="263"/>
      <c r="Q14" s="263"/>
    </row>
    <row r="15" spans="1:27" x14ac:dyDescent="0.25">
      <c r="A15" s="117"/>
      <c r="B15" s="124"/>
      <c r="C15" s="44" t="s">
        <v>175</v>
      </c>
      <c r="D15" s="44" t="s">
        <v>30</v>
      </c>
      <c r="E15" s="44" t="s">
        <v>43</v>
      </c>
      <c r="F15" s="118"/>
      <c r="G15" s="675">
        <f t="shared" ref="G15:O15" si="2">(G12*G14*G13)+(G11*IT_Consultant_Daily_Rate)</f>
        <v>25080.000000000004</v>
      </c>
      <c r="H15" s="675">
        <f t="shared" si="2"/>
        <v>25080.000000000004</v>
      </c>
      <c r="I15" s="675">
        <f t="shared" si="2"/>
        <v>25080.000000000004</v>
      </c>
      <c r="J15" s="675">
        <f t="shared" si="2"/>
        <v>25080.000000000004</v>
      </c>
      <c r="K15" s="675">
        <f t="shared" si="2"/>
        <v>0</v>
      </c>
      <c r="L15" s="675">
        <f t="shared" si="2"/>
        <v>0</v>
      </c>
      <c r="M15" s="675">
        <f t="shared" si="2"/>
        <v>26221.155555555553</v>
      </c>
      <c r="N15" s="675">
        <f t="shared" si="2"/>
        <v>2565.057777777778</v>
      </c>
      <c r="O15" s="675">
        <f t="shared" si="2"/>
        <v>6270.0000000000009</v>
      </c>
      <c r="P15" s="263"/>
      <c r="Q15" s="263"/>
    </row>
    <row r="16" spans="1:27" x14ac:dyDescent="0.25">
      <c r="A16" s="117"/>
      <c r="B16" s="124"/>
      <c r="C16" s="44"/>
      <c r="D16" s="44"/>
      <c r="E16" s="44"/>
      <c r="F16" s="118"/>
      <c r="G16" s="263"/>
      <c r="H16" s="263"/>
      <c r="I16" s="263"/>
      <c r="J16" s="263"/>
      <c r="K16" s="263"/>
      <c r="L16" s="263"/>
      <c r="M16" s="263"/>
      <c r="N16" s="263"/>
      <c r="O16" s="263"/>
      <c r="P16" s="263"/>
      <c r="Q16" s="263"/>
    </row>
    <row r="17" spans="1:17" x14ac:dyDescent="0.25">
      <c r="A17" s="117"/>
      <c r="B17" s="124"/>
      <c r="C17" s="44" t="s">
        <v>175</v>
      </c>
      <c r="D17" s="44" t="s">
        <v>49</v>
      </c>
      <c r="E17" s="44" t="s">
        <v>47</v>
      </c>
      <c r="F17" s="118" t="s">
        <v>118</v>
      </c>
      <c r="G17" s="37">
        <f>Inputs_Delivery_Effort!S12</f>
        <v>0.2</v>
      </c>
      <c r="H17" s="37">
        <f>Inputs_Delivery_Effort!T12</f>
        <v>0.2</v>
      </c>
      <c r="I17" s="37">
        <f>Inputs_Delivery_Effort!U12</f>
        <v>0.2</v>
      </c>
      <c r="J17" s="37">
        <f>Inputs_Delivery_Effort!V12</f>
        <v>0.2</v>
      </c>
      <c r="K17" s="37">
        <f>Inputs_Delivery_Effort!W12</f>
        <v>0.2</v>
      </c>
      <c r="L17" s="37">
        <f>Inputs_Delivery_Effort!X12</f>
        <v>0.2</v>
      </c>
      <c r="M17" s="37">
        <f>Inputs_Delivery_Effort!Y12</f>
        <v>0.2</v>
      </c>
      <c r="N17" s="37">
        <f>Inputs_Delivery_Effort!Z12</f>
        <v>0.2</v>
      </c>
      <c r="O17" s="37">
        <f>Inputs_Delivery_Effort!AA12</f>
        <v>0.2</v>
      </c>
      <c r="P17" s="263"/>
      <c r="Q17" s="263"/>
    </row>
    <row r="18" spans="1:17" x14ac:dyDescent="0.25">
      <c r="A18" s="117"/>
      <c r="B18" s="124"/>
      <c r="C18" s="44" t="s">
        <v>175</v>
      </c>
      <c r="D18" s="44" t="s">
        <v>30</v>
      </c>
      <c r="E18" s="44" t="s">
        <v>42</v>
      </c>
      <c r="F18" s="118"/>
      <c r="G18" s="675">
        <f>G15*G17</f>
        <v>5016.0000000000009</v>
      </c>
      <c r="H18" s="675">
        <f t="shared" ref="H18:O18" si="3">H15*H17</f>
        <v>5016.0000000000009</v>
      </c>
      <c r="I18" s="675">
        <f t="shared" si="3"/>
        <v>5016.0000000000009</v>
      </c>
      <c r="J18" s="675">
        <f t="shared" si="3"/>
        <v>5016.0000000000009</v>
      </c>
      <c r="K18" s="675">
        <f t="shared" si="3"/>
        <v>0</v>
      </c>
      <c r="L18" s="675">
        <f t="shared" si="3"/>
        <v>0</v>
      </c>
      <c r="M18" s="675">
        <f t="shared" si="3"/>
        <v>5244.2311111111112</v>
      </c>
      <c r="N18" s="675">
        <f t="shared" si="3"/>
        <v>513.01155555555567</v>
      </c>
      <c r="O18" s="675">
        <f t="shared" si="3"/>
        <v>1254.0000000000002</v>
      </c>
      <c r="P18" s="263"/>
      <c r="Q18" s="263"/>
    </row>
    <row r="19" spans="1:17" x14ac:dyDescent="0.25">
      <c r="A19" s="117"/>
      <c r="B19" s="124"/>
      <c r="C19" s="44"/>
      <c r="D19" s="44"/>
      <c r="E19" s="44"/>
      <c r="F19" s="118"/>
      <c r="G19" s="263"/>
      <c r="H19" s="263"/>
      <c r="I19" s="263"/>
      <c r="J19" s="263"/>
      <c r="K19" s="263"/>
      <c r="L19" s="263"/>
      <c r="M19" s="263"/>
      <c r="N19" s="263"/>
      <c r="O19" s="263"/>
      <c r="P19" s="263"/>
      <c r="Q19" s="263"/>
    </row>
    <row r="20" spans="1:17" x14ac:dyDescent="0.25">
      <c r="A20" s="117"/>
      <c r="B20" s="124"/>
      <c r="C20" s="125" t="s">
        <v>149</v>
      </c>
      <c r="D20" s="125"/>
      <c r="E20" s="125"/>
      <c r="F20" s="126"/>
      <c r="G20" s="126"/>
      <c r="H20" s="126"/>
      <c r="I20" s="126"/>
      <c r="J20" s="126"/>
      <c r="K20" s="126"/>
      <c r="L20" s="126"/>
      <c r="M20" s="126"/>
      <c r="N20" s="126"/>
      <c r="O20" s="126"/>
      <c r="P20" s="263"/>
      <c r="Q20" s="263"/>
    </row>
    <row r="21" spans="1:17" x14ac:dyDescent="0.25">
      <c r="A21" s="117"/>
      <c r="B21" s="124"/>
      <c r="C21" s="44"/>
      <c r="D21" s="44"/>
      <c r="E21" s="44"/>
      <c r="F21" s="118" t="str">
        <f>C21&amp;E21</f>
        <v/>
      </c>
      <c r="G21" s="263"/>
      <c r="H21" s="263"/>
      <c r="I21" s="263"/>
      <c r="J21" s="263"/>
      <c r="K21" s="263"/>
      <c r="L21" s="263"/>
      <c r="M21" s="263"/>
      <c r="N21" s="263"/>
      <c r="O21" s="263"/>
      <c r="P21" s="263"/>
      <c r="Q21" s="263"/>
    </row>
    <row r="22" spans="1:17" x14ac:dyDescent="0.25">
      <c r="A22" s="117"/>
      <c r="B22" s="124"/>
      <c r="C22" s="44" t="s">
        <v>149</v>
      </c>
      <c r="D22" s="44" t="s">
        <v>51</v>
      </c>
      <c r="E22" s="44" t="s">
        <v>50</v>
      </c>
      <c r="F22" s="118" t="s">
        <v>214</v>
      </c>
      <c r="G22" s="673">
        <f>Inputs_Delivery_Effort!S15</f>
        <v>46.2</v>
      </c>
      <c r="H22" s="673">
        <f>Inputs_Delivery_Effort!T15</f>
        <v>46.2</v>
      </c>
      <c r="I22" s="673">
        <f>Inputs_Delivery_Effort!U15</f>
        <v>46.2</v>
      </c>
      <c r="J22" s="673">
        <f>Inputs_Delivery_Effort!V15</f>
        <v>46.2</v>
      </c>
      <c r="K22" s="673">
        <f>Inputs_Delivery_Effort!W15</f>
        <v>0</v>
      </c>
      <c r="L22" s="673">
        <f>Inputs_Delivery_Effort!X15</f>
        <v>0</v>
      </c>
      <c r="M22" s="673">
        <f>Inputs_Delivery_Effort!Y15</f>
        <v>13.860000000000003</v>
      </c>
      <c r="N22" s="673">
        <f>Inputs_Delivery_Effort!Z15</f>
        <v>3.3000000000000003</v>
      </c>
      <c r="O22" s="673">
        <f>Inputs_Delivery_Effort!AA15</f>
        <v>10.560000000000002</v>
      </c>
      <c r="P22" s="263"/>
      <c r="Q22" s="263"/>
    </row>
    <row r="23" spans="1:17" x14ac:dyDescent="0.25">
      <c r="A23" s="129"/>
      <c r="B23" s="124"/>
      <c r="C23" s="44" t="s">
        <v>149</v>
      </c>
      <c r="D23" s="44" t="s">
        <v>51</v>
      </c>
      <c r="E23" s="44" t="s">
        <v>50</v>
      </c>
      <c r="F23" s="118" t="s">
        <v>117</v>
      </c>
      <c r="G23" s="674">
        <f>Inputs_Delivery_Effort!S17</f>
        <v>0.96000000000000019</v>
      </c>
      <c r="H23" s="674">
        <f>Inputs_Delivery_Effort!T17</f>
        <v>1.3600000000000003</v>
      </c>
      <c r="I23" s="674">
        <f>Inputs_Delivery_Effort!U17</f>
        <v>0.96000000000000019</v>
      </c>
      <c r="J23" s="674">
        <f>Inputs_Delivery_Effort!V17</f>
        <v>0.96000000000000019</v>
      </c>
      <c r="K23" s="674">
        <f>Inputs_Delivery_Effort!W17</f>
        <v>0</v>
      </c>
      <c r="L23" s="674">
        <f>Inputs_Delivery_Effort!X17</f>
        <v>0</v>
      </c>
      <c r="M23" s="674">
        <f>Inputs_Delivery_Effort!Y17</f>
        <v>0.96000000000000019</v>
      </c>
      <c r="N23" s="674">
        <f>Inputs_Delivery_Effort!Z17</f>
        <v>0.96000000000000019</v>
      </c>
      <c r="O23" s="674">
        <f>Inputs_Delivery_Effort!AA17</f>
        <v>0</v>
      </c>
      <c r="P23" s="263"/>
      <c r="Q23" s="263"/>
    </row>
    <row r="24" spans="1:17" x14ac:dyDescent="0.25">
      <c r="A24" s="117"/>
      <c r="B24" s="124"/>
      <c r="C24" s="44" t="s">
        <v>149</v>
      </c>
      <c r="D24" s="44" t="s">
        <v>48</v>
      </c>
      <c r="E24" s="44" t="s">
        <v>50</v>
      </c>
      <c r="F24" s="118" t="s">
        <v>181</v>
      </c>
      <c r="G24" s="671">
        <f>Inputs_Delivery_Effort!S18</f>
        <v>0</v>
      </c>
      <c r="H24" s="671">
        <f>Inputs_Delivery_Effort!T18</f>
        <v>0</v>
      </c>
      <c r="I24" s="671">
        <f>Inputs_Delivery_Effort!U18</f>
        <v>0</v>
      </c>
      <c r="J24" s="671">
        <f>Inputs_Delivery_Effort!V18</f>
        <v>0</v>
      </c>
      <c r="K24" s="671">
        <f>Inputs_Delivery_Effort!W18</f>
        <v>0</v>
      </c>
      <c r="L24" s="671">
        <f>Inputs_Delivery_Effort!X18</f>
        <v>0</v>
      </c>
      <c r="M24" s="671">
        <f>Inputs_Delivery_Effort!Y18</f>
        <v>100</v>
      </c>
      <c r="N24" s="671">
        <f>Inputs_Delivery_Effort!Z18</f>
        <v>5</v>
      </c>
      <c r="O24" s="671">
        <f>Inputs_Delivery_Effort!AA18</f>
        <v>0</v>
      </c>
      <c r="P24" s="263"/>
      <c r="Q24" s="263"/>
    </row>
    <row r="25" spans="1:17" x14ac:dyDescent="0.25">
      <c r="A25" s="117"/>
      <c r="B25" s="124"/>
      <c r="C25" s="44" t="s">
        <v>149</v>
      </c>
      <c r="D25" s="44" t="s">
        <v>30</v>
      </c>
      <c r="E25" s="44" t="s">
        <v>50</v>
      </c>
      <c r="F25" s="118" t="s">
        <v>70</v>
      </c>
      <c r="G25" s="112">
        <f>Inputs_CPs!F$11</f>
        <v>142.97777777777776</v>
      </c>
      <c r="H25" s="112">
        <f>Inputs_CPs!G$11</f>
        <v>142.97777777777776</v>
      </c>
      <c r="I25" s="112">
        <f>Inputs_CPs!H$11</f>
        <v>142.97777777777776</v>
      </c>
      <c r="J25" s="112">
        <f>Inputs_CPs!I$11</f>
        <v>142.97777777777776</v>
      </c>
      <c r="K25" s="112">
        <f>Inputs_CPs!J$11</f>
        <v>142.97777777777776</v>
      </c>
      <c r="L25" s="112">
        <f>Inputs_CPs!K$11</f>
        <v>142.97777777777776</v>
      </c>
      <c r="M25" s="112">
        <f>Inputs_CPs!L$11</f>
        <v>142.97777777777776</v>
      </c>
      <c r="N25" s="112">
        <f>Inputs_CPs!M$11</f>
        <v>142.97777777777776</v>
      </c>
      <c r="O25" s="112">
        <f>Inputs_CPs!N$11</f>
        <v>142.97777777777776</v>
      </c>
      <c r="P25" s="263"/>
      <c r="Q25" s="263"/>
    </row>
    <row r="26" spans="1:17" x14ac:dyDescent="0.25">
      <c r="A26" s="117"/>
      <c r="B26" s="124"/>
      <c r="C26" s="44" t="s">
        <v>149</v>
      </c>
      <c r="D26" s="44" t="s">
        <v>30</v>
      </c>
      <c r="E26" s="44" t="s">
        <v>43</v>
      </c>
      <c r="F26" s="118"/>
      <c r="G26" s="675">
        <f t="shared" ref="G26:O26" si="4">(G23*G25*G24)+(G22*IT_Consultant_Daily_Rate)</f>
        <v>23100</v>
      </c>
      <c r="H26" s="675">
        <f t="shared" si="4"/>
        <v>23100</v>
      </c>
      <c r="I26" s="675">
        <f t="shared" si="4"/>
        <v>23100</v>
      </c>
      <c r="J26" s="675">
        <f t="shared" si="4"/>
        <v>23100</v>
      </c>
      <c r="K26" s="675">
        <f t="shared" si="4"/>
        <v>0</v>
      </c>
      <c r="L26" s="675">
        <f t="shared" si="4"/>
        <v>0</v>
      </c>
      <c r="M26" s="675">
        <f t="shared" si="4"/>
        <v>20655.866666666669</v>
      </c>
      <c r="N26" s="675">
        <f t="shared" si="4"/>
        <v>2336.2933333333335</v>
      </c>
      <c r="O26" s="675">
        <f t="shared" si="4"/>
        <v>5280.0000000000009</v>
      </c>
      <c r="P26" s="263"/>
      <c r="Q26" s="263"/>
    </row>
    <row r="27" spans="1:17" x14ac:dyDescent="0.25">
      <c r="A27" s="117"/>
      <c r="B27" s="124"/>
      <c r="C27" s="44"/>
      <c r="D27" s="44"/>
      <c r="E27" s="44"/>
      <c r="F27" s="118"/>
      <c r="G27" s="263"/>
      <c r="H27" s="263"/>
      <c r="I27" s="263"/>
      <c r="J27" s="263"/>
      <c r="K27" s="263"/>
      <c r="L27" s="263"/>
      <c r="M27" s="263"/>
      <c r="N27" s="263"/>
      <c r="O27" s="263"/>
      <c r="P27" s="263"/>
      <c r="Q27" s="263"/>
    </row>
    <row r="28" spans="1:17" x14ac:dyDescent="0.25">
      <c r="A28" s="117"/>
      <c r="B28" s="124"/>
      <c r="C28" s="44" t="s">
        <v>149</v>
      </c>
      <c r="D28" s="44" t="s">
        <v>49</v>
      </c>
      <c r="E28" s="44" t="s">
        <v>47</v>
      </c>
      <c r="F28" s="118" t="s">
        <v>118</v>
      </c>
      <c r="G28" s="37">
        <f>Inputs_Delivery_Effort!S16</f>
        <v>0.2</v>
      </c>
      <c r="H28" s="37">
        <f>Inputs_Delivery_Effort!T16</f>
        <v>0.2</v>
      </c>
      <c r="I28" s="37">
        <f>Inputs_Delivery_Effort!U16</f>
        <v>0.2</v>
      </c>
      <c r="J28" s="37">
        <f>Inputs_Delivery_Effort!V16</f>
        <v>0.2</v>
      </c>
      <c r="K28" s="37">
        <f>Inputs_Delivery_Effort!W16</f>
        <v>0.2</v>
      </c>
      <c r="L28" s="37">
        <f>Inputs_Delivery_Effort!X16</f>
        <v>0.2</v>
      </c>
      <c r="M28" s="37">
        <f>Inputs_Delivery_Effort!Y16</f>
        <v>0.2</v>
      </c>
      <c r="N28" s="37">
        <f>Inputs_Delivery_Effort!Z16</f>
        <v>0.2</v>
      </c>
      <c r="O28" s="37">
        <f>Inputs_Delivery_Effort!AA16</f>
        <v>0.2</v>
      </c>
      <c r="P28" s="263"/>
      <c r="Q28" s="263"/>
    </row>
    <row r="29" spans="1:17" x14ac:dyDescent="0.25">
      <c r="A29" s="117"/>
      <c r="B29" s="124"/>
      <c r="C29" s="44" t="s">
        <v>149</v>
      </c>
      <c r="D29" s="44" t="s">
        <v>30</v>
      </c>
      <c r="E29" s="44" t="s">
        <v>42</v>
      </c>
      <c r="F29" s="118"/>
      <c r="G29" s="675">
        <f>G26*G28</f>
        <v>4620</v>
      </c>
      <c r="H29" s="675">
        <f t="shared" ref="H29" si="5">H26*H28</f>
        <v>4620</v>
      </c>
      <c r="I29" s="675">
        <f t="shared" ref="I29" si="6">I26*I28</f>
        <v>4620</v>
      </c>
      <c r="J29" s="675">
        <f t="shared" ref="J29" si="7">J26*J28</f>
        <v>4620</v>
      </c>
      <c r="K29" s="675">
        <f t="shared" ref="K29" si="8">K26*K28</f>
        <v>0</v>
      </c>
      <c r="L29" s="675">
        <f t="shared" ref="L29" si="9">L26*L28</f>
        <v>0</v>
      </c>
      <c r="M29" s="675">
        <f t="shared" ref="M29" si="10">M26*M28</f>
        <v>4131.1733333333341</v>
      </c>
      <c r="N29" s="675">
        <f t="shared" ref="N29" si="11">N26*N28</f>
        <v>467.25866666666673</v>
      </c>
      <c r="O29" s="675">
        <f t="shared" ref="O29" si="12">O26*O28</f>
        <v>1056.0000000000002</v>
      </c>
      <c r="P29" s="263"/>
      <c r="Q29" s="263"/>
    </row>
    <row r="30" spans="1:17" x14ac:dyDescent="0.25">
      <c r="A30" s="117"/>
      <c r="B30" s="124"/>
      <c r="C30" s="44"/>
      <c r="D30" s="44"/>
      <c r="E30" s="44"/>
      <c r="F30" s="118"/>
      <c r="G30" s="264"/>
      <c r="H30" s="264"/>
      <c r="I30" s="264"/>
      <c r="J30" s="264"/>
      <c r="K30" s="264"/>
      <c r="L30" s="264"/>
      <c r="M30" s="264"/>
      <c r="N30" s="264"/>
      <c r="O30" s="264"/>
      <c r="P30" s="263"/>
      <c r="Q30" s="263"/>
    </row>
    <row r="31" spans="1:17" x14ac:dyDescent="0.25">
      <c r="A31" s="117"/>
      <c r="B31" s="127"/>
      <c r="C31" s="125" t="s">
        <v>150</v>
      </c>
      <c r="D31" s="125"/>
      <c r="E31" s="125"/>
      <c r="F31" s="126"/>
      <c r="G31" s="126"/>
      <c r="H31" s="126"/>
      <c r="I31" s="126"/>
      <c r="J31" s="126"/>
      <c r="K31" s="126"/>
      <c r="L31" s="126"/>
      <c r="M31" s="126"/>
      <c r="N31" s="126"/>
      <c r="O31" s="126"/>
      <c r="P31" s="263"/>
      <c r="Q31" s="263"/>
    </row>
    <row r="32" spans="1:17" x14ac:dyDescent="0.25">
      <c r="A32" s="117"/>
      <c r="B32" s="127"/>
      <c r="C32" s="44"/>
      <c r="D32" s="44"/>
      <c r="E32" s="44"/>
      <c r="F32" s="118"/>
      <c r="G32" s="263"/>
      <c r="H32" s="263"/>
      <c r="I32" s="263"/>
      <c r="J32" s="263"/>
      <c r="K32" s="263"/>
      <c r="L32" s="263"/>
      <c r="M32" s="263"/>
      <c r="N32" s="263"/>
      <c r="O32" s="263"/>
      <c r="P32" s="263"/>
      <c r="Q32" s="263"/>
    </row>
    <row r="33" spans="1:17" x14ac:dyDescent="0.25">
      <c r="A33" s="263"/>
      <c r="B33" s="263"/>
      <c r="C33" s="124" t="s">
        <v>150</v>
      </c>
      <c r="D33" s="44" t="s">
        <v>51</v>
      </c>
      <c r="E33" s="44" t="s">
        <v>50</v>
      </c>
      <c r="F33" s="118" t="s">
        <v>214</v>
      </c>
      <c r="G33" s="673">
        <f>Inputs_Delivery_Effort!S19</f>
        <v>63.360000000000007</v>
      </c>
      <c r="H33" s="673">
        <f>Inputs_Delivery_Effort!T19</f>
        <v>63.360000000000007</v>
      </c>
      <c r="I33" s="673">
        <f>Inputs_Delivery_Effort!U19</f>
        <v>63.360000000000007</v>
      </c>
      <c r="J33" s="673">
        <f>Inputs_Delivery_Effort!V19</f>
        <v>63.360000000000007</v>
      </c>
      <c r="K33" s="673">
        <f>Inputs_Delivery_Effort!W19</f>
        <v>0</v>
      </c>
      <c r="L33" s="673">
        <f>Inputs_Delivery_Effort!X19</f>
        <v>31.680000000000003</v>
      </c>
      <c r="M33" s="673">
        <f>Inputs_Delivery_Effort!Y19</f>
        <v>25.080000000000002</v>
      </c>
      <c r="N33" s="673">
        <f>Inputs_Delivery_Effort!Z19</f>
        <v>3.3000000000000003</v>
      </c>
      <c r="O33" s="673">
        <f>Inputs_Delivery_Effort!AA19</f>
        <v>21.78</v>
      </c>
      <c r="P33" s="263"/>
      <c r="Q33" s="263"/>
    </row>
    <row r="34" spans="1:17" x14ac:dyDescent="0.25">
      <c r="A34" s="117"/>
      <c r="B34" s="127"/>
      <c r="C34" s="124" t="s">
        <v>150</v>
      </c>
      <c r="D34" s="44" t="s">
        <v>51</v>
      </c>
      <c r="E34" s="44" t="s">
        <v>50</v>
      </c>
      <c r="F34" s="118" t="s">
        <v>117</v>
      </c>
      <c r="G34" s="674">
        <f>Inputs_Delivery_Effort!S21</f>
        <v>2.08</v>
      </c>
      <c r="H34" s="674">
        <f>Inputs_Delivery_Effort!T21</f>
        <v>2.4800000000000004</v>
      </c>
      <c r="I34" s="674">
        <f>Inputs_Delivery_Effort!U21</f>
        <v>2.08</v>
      </c>
      <c r="J34" s="674">
        <f>Inputs_Delivery_Effort!V21</f>
        <v>2.08</v>
      </c>
      <c r="K34" s="674">
        <f>Inputs_Delivery_Effort!W21</f>
        <v>0</v>
      </c>
      <c r="L34" s="674">
        <f>Inputs_Delivery_Effort!X21</f>
        <v>1.7600000000000002</v>
      </c>
      <c r="M34" s="674">
        <f>Inputs_Delivery_Effort!Y21</f>
        <v>1.28</v>
      </c>
      <c r="N34" s="674">
        <f>Inputs_Delivery_Effort!Z21</f>
        <v>1.28</v>
      </c>
      <c r="O34" s="674">
        <f>Inputs_Delivery_Effort!AA21</f>
        <v>0</v>
      </c>
      <c r="P34" s="263"/>
      <c r="Q34" s="263"/>
    </row>
    <row r="35" spans="1:17" x14ac:dyDescent="0.25">
      <c r="A35" s="263"/>
      <c r="B35" s="263"/>
      <c r="C35" s="124" t="s">
        <v>150</v>
      </c>
      <c r="D35" s="263" t="s">
        <v>48</v>
      </c>
      <c r="E35" s="44" t="s">
        <v>50</v>
      </c>
      <c r="F35" s="263" t="s">
        <v>155</v>
      </c>
      <c r="G35" s="671">
        <f>Inputs_Delivery_Effort!S22</f>
        <v>15</v>
      </c>
      <c r="H35" s="671">
        <f>Inputs_Delivery_Effort!T22</f>
        <v>15</v>
      </c>
      <c r="I35" s="671">
        <f>Inputs_Delivery_Effort!U22</f>
        <v>15</v>
      </c>
      <c r="J35" s="671">
        <f>Inputs_Delivery_Effort!V22</f>
        <v>15</v>
      </c>
      <c r="K35" s="671">
        <f>Inputs_Delivery_Effort!W22</f>
        <v>15</v>
      </c>
      <c r="L35" s="671">
        <f>Inputs_Delivery_Effort!X22</f>
        <v>15</v>
      </c>
      <c r="M35" s="671">
        <f>Inputs_Delivery_Effort!Y22</f>
        <v>3</v>
      </c>
      <c r="N35" s="671">
        <f>Inputs_Delivery_Effort!Z22</f>
        <v>3</v>
      </c>
      <c r="O35" s="671">
        <f>Inputs_Delivery_Effort!AA22</f>
        <v>3</v>
      </c>
      <c r="P35" s="263"/>
      <c r="Q35" s="263"/>
    </row>
    <row r="36" spans="1:17" x14ac:dyDescent="0.25">
      <c r="A36" s="263"/>
      <c r="B36" s="263"/>
      <c r="C36" s="124" t="s">
        <v>150</v>
      </c>
      <c r="D36" s="263" t="s">
        <v>30</v>
      </c>
      <c r="E36" s="44" t="s">
        <v>50</v>
      </c>
      <c r="F36" s="118" t="s">
        <v>260</v>
      </c>
      <c r="G36" s="112">
        <f>Inputs_CPs!F$12</f>
        <v>361.11111111111109</v>
      </c>
      <c r="H36" s="112">
        <f>Inputs_CPs!G$12</f>
        <v>361.11111111111109</v>
      </c>
      <c r="I36" s="112">
        <f>Inputs_CPs!H$12</f>
        <v>361.11111111111109</v>
      </c>
      <c r="J36" s="112">
        <f>Inputs_CPs!I$12</f>
        <v>361.11111111111109</v>
      </c>
      <c r="K36" s="112">
        <f>Inputs_CPs!N$12</f>
        <v>361.11111111111109</v>
      </c>
      <c r="L36" s="112">
        <f>Inputs_CPs!O$12</f>
        <v>361.11111111111109</v>
      </c>
      <c r="M36" s="112">
        <f>Inputs_CPs!K$12</f>
        <v>361.11111111111109</v>
      </c>
      <c r="N36" s="112">
        <f>Inputs_CPs!L$12</f>
        <v>361.11111111111109</v>
      </c>
      <c r="O36" s="112">
        <f>Inputs_CPs!M$12</f>
        <v>361.11111111111109</v>
      </c>
      <c r="P36" s="263"/>
      <c r="Q36" s="263"/>
    </row>
    <row r="37" spans="1:17" x14ac:dyDescent="0.25">
      <c r="A37" s="263"/>
      <c r="B37" s="263"/>
      <c r="C37" s="124" t="s">
        <v>150</v>
      </c>
      <c r="D37" s="263" t="s">
        <v>30</v>
      </c>
      <c r="E37" s="44" t="s">
        <v>43</v>
      </c>
      <c r="F37" s="263"/>
      <c r="G37" s="675">
        <f t="shared" ref="G37:O37" si="13">(G34*G36*G35)+(G33*IT_Consultant_Daily_Rate)</f>
        <v>42946.666666666672</v>
      </c>
      <c r="H37" s="675">
        <f t="shared" si="13"/>
        <v>45113.333333333343</v>
      </c>
      <c r="I37" s="675">
        <f t="shared" si="13"/>
        <v>42946.666666666672</v>
      </c>
      <c r="J37" s="675">
        <f t="shared" si="13"/>
        <v>42946.666666666672</v>
      </c>
      <c r="K37" s="675">
        <f t="shared" si="13"/>
        <v>0</v>
      </c>
      <c r="L37" s="675">
        <f t="shared" si="13"/>
        <v>25373.333333333336</v>
      </c>
      <c r="M37" s="675">
        <f t="shared" si="13"/>
        <v>13926.666666666668</v>
      </c>
      <c r="N37" s="675">
        <f t="shared" si="13"/>
        <v>3036.666666666667</v>
      </c>
      <c r="O37" s="675">
        <f t="shared" si="13"/>
        <v>10890</v>
      </c>
      <c r="P37" s="263"/>
      <c r="Q37" s="263"/>
    </row>
    <row r="38" spans="1:17" x14ac:dyDescent="0.25">
      <c r="A38" s="117"/>
      <c r="B38" s="124"/>
      <c r="C38" s="44"/>
      <c r="D38" s="44"/>
      <c r="E38" s="44"/>
      <c r="F38" s="118"/>
      <c r="G38" s="263"/>
      <c r="H38" s="263"/>
      <c r="I38" s="263"/>
      <c r="J38" s="263"/>
      <c r="K38" s="263"/>
      <c r="L38" s="263"/>
      <c r="M38" s="263"/>
      <c r="N38" s="263"/>
      <c r="O38" s="263"/>
      <c r="P38" s="263"/>
      <c r="Q38" s="263"/>
    </row>
    <row r="39" spans="1:17" x14ac:dyDescent="0.25">
      <c r="A39" s="117"/>
      <c r="B39" s="124"/>
      <c r="C39" s="124" t="s">
        <v>150</v>
      </c>
      <c r="D39" s="44" t="s">
        <v>49</v>
      </c>
      <c r="E39" s="44" t="s">
        <v>47</v>
      </c>
      <c r="F39" s="118" t="s">
        <v>118</v>
      </c>
      <c r="G39" s="37">
        <f>Inputs_Delivery_Effort!S20</f>
        <v>0.2</v>
      </c>
      <c r="H39" s="37">
        <f>Inputs_Delivery_Effort!T20</f>
        <v>0.2</v>
      </c>
      <c r="I39" s="37">
        <f>Inputs_Delivery_Effort!U20</f>
        <v>0.2</v>
      </c>
      <c r="J39" s="37">
        <f>Inputs_Delivery_Effort!V20</f>
        <v>0.2</v>
      </c>
      <c r="K39" s="37">
        <f>Inputs_Delivery_Effort!W20</f>
        <v>0.2</v>
      </c>
      <c r="L39" s="37">
        <f>Inputs_Delivery_Effort!X20</f>
        <v>0.2</v>
      </c>
      <c r="M39" s="37">
        <f>Inputs_Delivery_Effort!Y20</f>
        <v>0.2</v>
      </c>
      <c r="N39" s="37">
        <f>Inputs_Delivery_Effort!Z20</f>
        <v>0.2</v>
      </c>
      <c r="O39" s="37">
        <f>Inputs_Delivery_Effort!AA20</f>
        <v>0.2</v>
      </c>
      <c r="P39" s="263"/>
      <c r="Q39" s="263"/>
    </row>
    <row r="40" spans="1:17" x14ac:dyDescent="0.25">
      <c r="A40" s="117"/>
      <c r="B40" s="124"/>
      <c r="C40" s="124" t="s">
        <v>150</v>
      </c>
      <c r="D40" s="44" t="s">
        <v>30</v>
      </c>
      <c r="E40" s="44" t="s">
        <v>42</v>
      </c>
      <c r="F40" s="118"/>
      <c r="G40" s="675">
        <f>G37*G39</f>
        <v>8589.3333333333339</v>
      </c>
      <c r="H40" s="675">
        <f t="shared" ref="H40" si="14">H37*H39</f>
        <v>9022.6666666666697</v>
      </c>
      <c r="I40" s="675">
        <f t="shared" ref="I40" si="15">I37*I39</f>
        <v>8589.3333333333339</v>
      </c>
      <c r="J40" s="675">
        <f t="shared" ref="J40" si="16">J37*J39</f>
        <v>8589.3333333333339</v>
      </c>
      <c r="K40" s="675">
        <f t="shared" ref="K40" si="17">K37*K39</f>
        <v>0</v>
      </c>
      <c r="L40" s="675">
        <f t="shared" ref="L40" si="18">L37*L39</f>
        <v>5074.6666666666679</v>
      </c>
      <c r="M40" s="675">
        <f t="shared" ref="M40" si="19">M37*M39</f>
        <v>2785.3333333333339</v>
      </c>
      <c r="N40" s="675">
        <f t="shared" ref="N40" si="20">N37*N39</f>
        <v>607.33333333333337</v>
      </c>
      <c r="O40" s="675">
        <f t="shared" ref="O40" si="21">O37*O39</f>
        <v>2178</v>
      </c>
      <c r="P40" s="263"/>
      <c r="Q40" s="263"/>
    </row>
    <row r="41" spans="1:17" x14ac:dyDescent="0.25">
      <c r="A41" s="117"/>
      <c r="B41" s="124"/>
      <c r="C41" s="44"/>
      <c r="D41" s="44"/>
      <c r="E41" s="44"/>
      <c r="F41" s="118"/>
      <c r="G41" s="263"/>
      <c r="H41" s="263"/>
      <c r="I41" s="263"/>
      <c r="J41" s="263"/>
      <c r="K41" s="263"/>
      <c r="L41" s="263"/>
      <c r="M41" s="263"/>
      <c r="N41" s="263"/>
      <c r="O41" s="263"/>
      <c r="P41" s="263"/>
      <c r="Q41" s="263"/>
    </row>
    <row r="42" spans="1:17" x14ac:dyDescent="0.25">
      <c r="A42" s="263"/>
      <c r="B42" s="263"/>
      <c r="C42" s="125" t="s">
        <v>139</v>
      </c>
      <c r="D42" s="125"/>
      <c r="E42" s="125"/>
      <c r="F42" s="126"/>
      <c r="G42" s="126"/>
      <c r="H42" s="126"/>
      <c r="I42" s="126"/>
      <c r="J42" s="126"/>
      <c r="K42" s="126"/>
      <c r="L42" s="126"/>
      <c r="M42" s="126"/>
      <c r="N42" s="126"/>
      <c r="O42" s="126"/>
      <c r="P42" s="263"/>
      <c r="Q42" s="263"/>
    </row>
    <row r="43" spans="1:17" x14ac:dyDescent="0.25">
      <c r="A43" s="263"/>
      <c r="B43" s="263"/>
      <c r="C43" s="263"/>
      <c r="D43" s="263"/>
      <c r="E43" s="263"/>
      <c r="F43" s="263"/>
      <c r="G43" s="263"/>
      <c r="H43" s="263"/>
      <c r="I43" s="263"/>
      <c r="J43" s="263"/>
      <c r="K43" s="263"/>
      <c r="L43" s="263"/>
      <c r="M43" s="263"/>
      <c r="N43" s="263"/>
      <c r="O43" s="263"/>
      <c r="P43" s="263"/>
      <c r="Q43" s="263"/>
    </row>
    <row r="44" spans="1:17" x14ac:dyDescent="0.25">
      <c r="A44" s="263"/>
      <c r="B44" s="263"/>
      <c r="C44" s="263" t="s">
        <v>139</v>
      </c>
      <c r="D44" s="44" t="s">
        <v>51</v>
      </c>
      <c r="E44" s="44" t="s">
        <v>50</v>
      </c>
      <c r="F44" s="118" t="s">
        <v>214</v>
      </c>
      <c r="G44" s="673">
        <f>Inputs_Delivery_Effort!S23</f>
        <v>46.2</v>
      </c>
      <c r="H44" s="673">
        <f>Inputs_Delivery_Effort!T23</f>
        <v>46.2</v>
      </c>
      <c r="I44" s="673">
        <f>Inputs_Delivery_Effort!U23</f>
        <v>46.2</v>
      </c>
      <c r="J44" s="673">
        <f>Inputs_Delivery_Effort!V23</f>
        <v>46.2</v>
      </c>
      <c r="K44" s="673">
        <f>Inputs_Delivery_Effort!W23</f>
        <v>0</v>
      </c>
      <c r="L44" s="673">
        <f>Inputs_Delivery_Effort!X23</f>
        <v>0</v>
      </c>
      <c r="M44" s="673">
        <f>Inputs_Delivery_Effort!Y23</f>
        <v>13.860000000000003</v>
      </c>
      <c r="N44" s="673">
        <f>Inputs_Delivery_Effort!Z23</f>
        <v>3.3000000000000003</v>
      </c>
      <c r="O44" s="673">
        <f>Inputs_Delivery_Effort!AA23</f>
        <v>10.560000000000002</v>
      </c>
      <c r="P44" s="263"/>
      <c r="Q44" s="263"/>
    </row>
    <row r="45" spans="1:17" x14ac:dyDescent="0.25">
      <c r="A45" s="263"/>
      <c r="B45" s="263"/>
      <c r="C45" s="263" t="s">
        <v>139</v>
      </c>
      <c r="D45" s="263" t="s">
        <v>51</v>
      </c>
      <c r="E45" s="263" t="s">
        <v>50</v>
      </c>
      <c r="F45" s="263" t="s">
        <v>117</v>
      </c>
      <c r="G45" s="674">
        <f>Inputs_Delivery_Effort!S25</f>
        <v>0.96000000000000019</v>
      </c>
      <c r="H45" s="674">
        <f>Inputs_Delivery_Effort!T25</f>
        <v>1.3600000000000003</v>
      </c>
      <c r="I45" s="674">
        <f>Inputs_Delivery_Effort!U25</f>
        <v>0.96000000000000019</v>
      </c>
      <c r="J45" s="674">
        <f>Inputs_Delivery_Effort!V25</f>
        <v>0.96000000000000019</v>
      </c>
      <c r="K45" s="674">
        <f>Inputs_Delivery_Effort!W25</f>
        <v>0</v>
      </c>
      <c r="L45" s="674">
        <f>Inputs_Delivery_Effort!X25</f>
        <v>0</v>
      </c>
      <c r="M45" s="674">
        <f>Inputs_Delivery_Effort!Y25</f>
        <v>0.96000000000000019</v>
      </c>
      <c r="N45" s="674">
        <f>Inputs_Delivery_Effort!Z25</f>
        <v>0.96000000000000019</v>
      </c>
      <c r="O45" s="674">
        <f>Inputs_Delivery_Effort!AA25</f>
        <v>0</v>
      </c>
      <c r="P45" s="263"/>
      <c r="Q45" s="263"/>
    </row>
    <row r="46" spans="1:17" x14ac:dyDescent="0.25">
      <c r="A46" s="263"/>
      <c r="B46" s="263"/>
      <c r="C46" s="263" t="s">
        <v>139</v>
      </c>
      <c r="D46" s="263" t="s">
        <v>48</v>
      </c>
      <c r="E46" s="263" t="s">
        <v>50</v>
      </c>
      <c r="F46" s="263" t="s">
        <v>153</v>
      </c>
      <c r="G46" s="671">
        <f>Inputs_Delivery_Effort!S26</f>
        <v>0</v>
      </c>
      <c r="H46" s="671">
        <f>Inputs_Delivery_Effort!T26</f>
        <v>0</v>
      </c>
      <c r="I46" s="671">
        <f>Inputs_Delivery_Effort!U26</f>
        <v>0</v>
      </c>
      <c r="J46" s="671">
        <f>Inputs_Delivery_Effort!V26</f>
        <v>0</v>
      </c>
      <c r="K46" s="671">
        <f>Inputs_Delivery_Effort!W26</f>
        <v>0</v>
      </c>
      <c r="L46" s="671">
        <f>Inputs_Delivery_Effort!X26</f>
        <v>0</v>
      </c>
      <c r="M46" s="671">
        <f>Inputs_Delivery_Effort!Y26</f>
        <v>100</v>
      </c>
      <c r="N46" s="671">
        <f>Inputs_Delivery_Effort!Z26</f>
        <v>5</v>
      </c>
      <c r="O46" s="671">
        <f>Inputs_Delivery_Effort!AA26</f>
        <v>0</v>
      </c>
      <c r="P46" s="263"/>
      <c r="Q46" s="263"/>
    </row>
    <row r="47" spans="1:17" x14ac:dyDescent="0.25">
      <c r="A47" s="263"/>
      <c r="B47" s="263"/>
      <c r="C47" s="263" t="s">
        <v>139</v>
      </c>
      <c r="D47" s="263" t="s">
        <v>30</v>
      </c>
      <c r="E47" s="263" t="s">
        <v>50</v>
      </c>
      <c r="F47" s="118" t="s">
        <v>70</v>
      </c>
      <c r="G47" s="112">
        <f>Inputs_CPs!F$11</f>
        <v>142.97777777777776</v>
      </c>
      <c r="H47" s="112">
        <f>Inputs_CPs!G$11</f>
        <v>142.97777777777776</v>
      </c>
      <c r="I47" s="112">
        <f>Inputs_CPs!H$11</f>
        <v>142.97777777777776</v>
      </c>
      <c r="J47" s="112">
        <f>Inputs_CPs!I$11</f>
        <v>142.97777777777776</v>
      </c>
      <c r="K47" s="112">
        <f>Inputs_CPs!N$11</f>
        <v>142.97777777777776</v>
      </c>
      <c r="L47" s="112">
        <f>Inputs_CPs!O$11</f>
        <v>142.97777777777776</v>
      </c>
      <c r="M47" s="112">
        <f>Inputs_CPs!K$11</f>
        <v>142.97777777777776</v>
      </c>
      <c r="N47" s="112">
        <f>Inputs_CPs!L$11</f>
        <v>142.97777777777776</v>
      </c>
      <c r="O47" s="112">
        <f>Inputs_CPs!M$11</f>
        <v>142.97777777777776</v>
      </c>
      <c r="P47" s="263"/>
      <c r="Q47" s="263"/>
    </row>
    <row r="48" spans="1:17" x14ac:dyDescent="0.25">
      <c r="A48" s="263"/>
      <c r="B48" s="263"/>
      <c r="C48" s="263" t="s">
        <v>139</v>
      </c>
      <c r="D48" s="263" t="s">
        <v>30</v>
      </c>
      <c r="E48" s="263" t="s">
        <v>43</v>
      </c>
      <c r="F48" s="263"/>
      <c r="G48" s="675">
        <f t="shared" ref="G48:O48" si="22">(G45*G47*G46)+(G44*IT_Consultant_Daily_Rate)</f>
        <v>23100</v>
      </c>
      <c r="H48" s="675">
        <f t="shared" si="22"/>
        <v>23100</v>
      </c>
      <c r="I48" s="675">
        <f t="shared" si="22"/>
        <v>23100</v>
      </c>
      <c r="J48" s="675">
        <f t="shared" si="22"/>
        <v>23100</v>
      </c>
      <c r="K48" s="675">
        <f t="shared" si="22"/>
        <v>0</v>
      </c>
      <c r="L48" s="675">
        <f t="shared" si="22"/>
        <v>0</v>
      </c>
      <c r="M48" s="675">
        <f t="shared" si="22"/>
        <v>20655.866666666669</v>
      </c>
      <c r="N48" s="675">
        <f t="shared" si="22"/>
        <v>2336.2933333333335</v>
      </c>
      <c r="O48" s="675">
        <f t="shared" si="22"/>
        <v>5280.0000000000009</v>
      </c>
      <c r="P48" s="263"/>
      <c r="Q48" s="263"/>
    </row>
    <row r="49" spans="1:17" x14ac:dyDescent="0.25">
      <c r="A49" s="117"/>
      <c r="B49" s="124"/>
      <c r="C49" s="44"/>
      <c r="D49" s="44"/>
      <c r="E49" s="44"/>
      <c r="F49" s="118"/>
      <c r="G49" s="263"/>
      <c r="H49" s="263"/>
      <c r="I49" s="263"/>
      <c r="J49" s="263"/>
      <c r="K49" s="263"/>
      <c r="L49" s="263"/>
      <c r="M49" s="263"/>
      <c r="N49" s="263"/>
      <c r="O49" s="263"/>
      <c r="P49" s="263"/>
      <c r="Q49" s="263"/>
    </row>
    <row r="50" spans="1:17" x14ac:dyDescent="0.25">
      <c r="A50" s="117"/>
      <c r="B50" s="124"/>
      <c r="C50" s="263" t="s">
        <v>139</v>
      </c>
      <c r="D50" s="44" t="s">
        <v>49</v>
      </c>
      <c r="E50" s="44" t="s">
        <v>47</v>
      </c>
      <c r="F50" s="118" t="s">
        <v>118</v>
      </c>
      <c r="G50" s="37">
        <f>Inputs_Delivery_Effort!S24</f>
        <v>0.2</v>
      </c>
      <c r="H50" s="37">
        <f>Inputs_Delivery_Effort!T24</f>
        <v>0.2</v>
      </c>
      <c r="I50" s="37">
        <f>Inputs_Delivery_Effort!U24</f>
        <v>0.2</v>
      </c>
      <c r="J50" s="37">
        <f>Inputs_Delivery_Effort!V24</f>
        <v>0.2</v>
      </c>
      <c r="K50" s="37">
        <f>Inputs_Delivery_Effort!W24</f>
        <v>0.2</v>
      </c>
      <c r="L50" s="37">
        <f>Inputs_Delivery_Effort!X24</f>
        <v>0.2</v>
      </c>
      <c r="M50" s="37">
        <f>Inputs_Delivery_Effort!Y24</f>
        <v>0.2</v>
      </c>
      <c r="N50" s="37">
        <f>Inputs_Delivery_Effort!Z24</f>
        <v>0.2</v>
      </c>
      <c r="O50" s="37">
        <f>Inputs_Delivery_Effort!AA24</f>
        <v>0.2</v>
      </c>
      <c r="P50" s="263"/>
      <c r="Q50" s="263"/>
    </row>
    <row r="51" spans="1:17" x14ac:dyDescent="0.25">
      <c r="A51" s="117"/>
      <c r="B51" s="124"/>
      <c r="C51" s="263" t="s">
        <v>139</v>
      </c>
      <c r="D51" s="44" t="s">
        <v>30</v>
      </c>
      <c r="E51" s="44" t="s">
        <v>42</v>
      </c>
      <c r="F51" s="118"/>
      <c r="G51" s="675">
        <f>G48*G50</f>
        <v>4620</v>
      </c>
      <c r="H51" s="675">
        <f t="shared" ref="H51" si="23">H48*H50</f>
        <v>4620</v>
      </c>
      <c r="I51" s="675">
        <f t="shared" ref="I51" si="24">I48*I50</f>
        <v>4620</v>
      </c>
      <c r="J51" s="675">
        <f t="shared" ref="J51" si="25">J48*J50</f>
        <v>4620</v>
      </c>
      <c r="K51" s="675">
        <f t="shared" ref="K51" si="26">K48*K50</f>
        <v>0</v>
      </c>
      <c r="L51" s="675">
        <f t="shared" ref="L51" si="27">L48*L50</f>
        <v>0</v>
      </c>
      <c r="M51" s="675">
        <f t="shared" ref="M51" si="28">M48*M50</f>
        <v>4131.1733333333341</v>
      </c>
      <c r="N51" s="675">
        <f t="shared" ref="N51" si="29">N48*N50</f>
        <v>467.25866666666673</v>
      </c>
      <c r="O51" s="675">
        <f t="shared" ref="O51" si="30">O48*O50</f>
        <v>1056.0000000000002</v>
      </c>
      <c r="P51" s="263"/>
      <c r="Q51" s="263"/>
    </row>
    <row r="52" spans="1:17" x14ac:dyDescent="0.25">
      <c r="A52" s="263"/>
      <c r="B52" s="263"/>
      <c r="C52" s="263"/>
      <c r="D52" s="263"/>
      <c r="E52" s="263"/>
      <c r="F52" s="263"/>
      <c r="G52" s="263"/>
      <c r="H52" s="263"/>
      <c r="I52" s="263"/>
      <c r="J52" s="263"/>
      <c r="K52" s="263"/>
      <c r="L52" s="263"/>
      <c r="M52" s="263"/>
      <c r="N52" s="263"/>
      <c r="O52" s="263"/>
      <c r="P52" s="263"/>
      <c r="Q52" s="263"/>
    </row>
    <row r="53" spans="1:17" x14ac:dyDescent="0.25">
      <c r="A53" s="263"/>
      <c r="B53" s="263"/>
      <c r="C53" s="125" t="s">
        <v>166</v>
      </c>
      <c r="D53" s="125"/>
      <c r="E53" s="125"/>
      <c r="F53" s="126"/>
      <c r="G53" s="126"/>
      <c r="H53" s="126"/>
      <c r="I53" s="126"/>
      <c r="J53" s="126"/>
      <c r="K53" s="126"/>
      <c r="L53" s="126"/>
      <c r="M53" s="126"/>
      <c r="N53" s="126"/>
      <c r="O53" s="126"/>
      <c r="P53" s="263"/>
      <c r="Q53" s="263"/>
    </row>
    <row r="54" spans="1:17" x14ac:dyDescent="0.25">
      <c r="A54" s="263"/>
      <c r="B54" s="263"/>
      <c r="C54" s="263"/>
      <c r="D54" s="263"/>
      <c r="E54" s="263"/>
      <c r="F54" s="263"/>
      <c r="G54" s="263"/>
      <c r="H54" s="263"/>
      <c r="I54" s="263"/>
      <c r="J54" s="263"/>
      <c r="K54" s="263"/>
      <c r="L54" s="263"/>
      <c r="M54" s="263"/>
      <c r="N54" s="263"/>
      <c r="O54" s="263"/>
      <c r="P54" s="263"/>
      <c r="Q54" s="263"/>
    </row>
    <row r="55" spans="1:17" x14ac:dyDescent="0.25">
      <c r="A55" s="263"/>
      <c r="B55" s="263"/>
      <c r="C55" s="263" t="s">
        <v>166</v>
      </c>
      <c r="D55" s="44" t="s">
        <v>51</v>
      </c>
      <c r="E55" s="44" t="s">
        <v>50</v>
      </c>
      <c r="F55" s="118" t="s">
        <v>214</v>
      </c>
      <c r="G55" s="673">
        <f>Inputs_Delivery_Effort!S27</f>
        <v>2.6400000000000006</v>
      </c>
      <c r="H55" s="673">
        <f>Inputs_Delivery_Effort!T27</f>
        <v>2.6400000000000006</v>
      </c>
      <c r="I55" s="673">
        <f>Inputs_Delivery_Effort!U27</f>
        <v>2.6400000000000006</v>
      </c>
      <c r="J55" s="673">
        <f>Inputs_Delivery_Effort!V27</f>
        <v>2.6400000000000006</v>
      </c>
      <c r="K55" s="673">
        <f>Inputs_Delivery_Effort!W27</f>
        <v>0</v>
      </c>
      <c r="L55" s="673">
        <f>Inputs_Delivery_Effort!X27</f>
        <v>0</v>
      </c>
      <c r="M55" s="673">
        <f>Inputs_Delivery_Effort!Y27</f>
        <v>0</v>
      </c>
      <c r="N55" s="673">
        <f>Inputs_Delivery_Effort!Z27</f>
        <v>0</v>
      </c>
      <c r="O55" s="673">
        <f>Inputs_Delivery_Effort!AA27</f>
        <v>0</v>
      </c>
      <c r="P55" s="263"/>
      <c r="Q55" s="263"/>
    </row>
    <row r="56" spans="1:17" x14ac:dyDescent="0.25">
      <c r="A56" s="263"/>
      <c r="B56" s="263"/>
      <c r="C56" s="263" t="s">
        <v>166</v>
      </c>
      <c r="D56" s="263" t="s">
        <v>51</v>
      </c>
      <c r="E56" s="263" t="s">
        <v>50</v>
      </c>
      <c r="F56" s="263" t="s">
        <v>117</v>
      </c>
      <c r="G56" s="674">
        <f>Inputs_Delivery_Effort!S29</f>
        <v>0.16000000000000003</v>
      </c>
      <c r="H56" s="674">
        <f>Inputs_Delivery_Effort!T29</f>
        <v>0.16000000000000003</v>
      </c>
      <c r="I56" s="674">
        <f>Inputs_Delivery_Effort!U29</f>
        <v>0.16000000000000003</v>
      </c>
      <c r="J56" s="674">
        <f>Inputs_Delivery_Effort!V29</f>
        <v>0.16000000000000003</v>
      </c>
      <c r="K56" s="674">
        <f>Inputs_Delivery_Effort!W29</f>
        <v>0</v>
      </c>
      <c r="L56" s="674">
        <f>Inputs_Delivery_Effort!X29</f>
        <v>0</v>
      </c>
      <c r="M56" s="674">
        <f>Inputs_Delivery_Effort!Y29</f>
        <v>0.16000000000000003</v>
      </c>
      <c r="N56" s="674">
        <f>Inputs_Delivery_Effort!Z29</f>
        <v>0.16000000000000003</v>
      </c>
      <c r="O56" s="674">
        <f>Inputs_Delivery_Effort!AA29</f>
        <v>0</v>
      </c>
      <c r="P56" s="263"/>
      <c r="Q56" s="263"/>
    </row>
    <row r="57" spans="1:17" x14ac:dyDescent="0.25">
      <c r="A57" s="263"/>
      <c r="B57" s="263"/>
      <c r="C57" s="263" t="s">
        <v>166</v>
      </c>
      <c r="D57" s="263" t="s">
        <v>48</v>
      </c>
      <c r="E57" s="263" t="s">
        <v>50</v>
      </c>
      <c r="F57" s="263" t="s">
        <v>167</v>
      </c>
      <c r="G57" s="671">
        <f>Inputs_Delivery_Effort!S30</f>
        <v>0</v>
      </c>
      <c r="H57" s="671">
        <f>Inputs_Delivery_Effort!T30</f>
        <v>0</v>
      </c>
      <c r="I57" s="671">
        <f>Inputs_Delivery_Effort!U30</f>
        <v>0</v>
      </c>
      <c r="J57" s="671">
        <f>Inputs_Delivery_Effort!V30</f>
        <v>0</v>
      </c>
      <c r="K57" s="671">
        <f>Inputs_Delivery_Effort!W30</f>
        <v>0</v>
      </c>
      <c r="L57" s="671">
        <f>Inputs_Delivery_Effort!X30</f>
        <v>0</v>
      </c>
      <c r="M57" s="671">
        <f>Inputs_Delivery_Effort!Y30</f>
        <v>100</v>
      </c>
      <c r="N57" s="671">
        <f>Inputs_Delivery_Effort!Z30</f>
        <v>5</v>
      </c>
      <c r="O57" s="671">
        <f>Inputs_Delivery_Effort!AA30</f>
        <v>0</v>
      </c>
      <c r="P57" s="263"/>
      <c r="Q57" s="263"/>
    </row>
    <row r="58" spans="1:17" x14ac:dyDescent="0.25">
      <c r="A58" s="263"/>
      <c r="B58" s="263"/>
      <c r="C58" s="263" t="s">
        <v>166</v>
      </c>
      <c r="D58" s="263" t="s">
        <v>30</v>
      </c>
      <c r="E58" s="263" t="s">
        <v>50</v>
      </c>
      <c r="F58" s="118" t="s">
        <v>70</v>
      </c>
      <c r="G58" s="112">
        <f>Inputs_CPs!F$11</f>
        <v>142.97777777777776</v>
      </c>
      <c r="H58" s="112">
        <f>Inputs_CPs!G$11</f>
        <v>142.97777777777776</v>
      </c>
      <c r="I58" s="112">
        <f>Inputs_CPs!H$11</f>
        <v>142.97777777777776</v>
      </c>
      <c r="J58" s="112">
        <f>Inputs_CPs!I$11</f>
        <v>142.97777777777776</v>
      </c>
      <c r="K58" s="112">
        <f>Inputs_CPs!N$11</f>
        <v>142.97777777777776</v>
      </c>
      <c r="L58" s="112">
        <f>Inputs_CPs!O$11</f>
        <v>142.97777777777776</v>
      </c>
      <c r="M58" s="112">
        <f>Inputs_CPs!K$11</f>
        <v>142.97777777777776</v>
      </c>
      <c r="N58" s="112">
        <f>Inputs_CPs!L$11</f>
        <v>142.97777777777776</v>
      </c>
      <c r="O58" s="112">
        <f>Inputs_CPs!M$11</f>
        <v>142.97777777777776</v>
      </c>
      <c r="P58" s="263"/>
      <c r="Q58" s="263"/>
    </row>
    <row r="59" spans="1:17" x14ac:dyDescent="0.25">
      <c r="A59" s="263"/>
      <c r="B59" s="263"/>
      <c r="C59" s="263" t="s">
        <v>166</v>
      </c>
      <c r="D59" s="263" t="s">
        <v>30</v>
      </c>
      <c r="E59" s="263" t="s">
        <v>43</v>
      </c>
      <c r="F59" s="263"/>
      <c r="G59" s="675">
        <f t="shared" ref="G59:O59" si="31">(G56*G58*G57)+(G55*IT_Consultant_Daily_Rate)</f>
        <v>1320.0000000000002</v>
      </c>
      <c r="H59" s="675">
        <f t="shared" si="31"/>
        <v>1320.0000000000002</v>
      </c>
      <c r="I59" s="675">
        <f t="shared" si="31"/>
        <v>1320.0000000000002</v>
      </c>
      <c r="J59" s="675">
        <f t="shared" si="31"/>
        <v>1320.0000000000002</v>
      </c>
      <c r="K59" s="675">
        <f t="shared" si="31"/>
        <v>0</v>
      </c>
      <c r="L59" s="675">
        <f t="shared" si="31"/>
        <v>0</v>
      </c>
      <c r="M59" s="675">
        <f t="shared" si="31"/>
        <v>2287.6444444444446</v>
      </c>
      <c r="N59" s="675">
        <f t="shared" si="31"/>
        <v>114.38222222222223</v>
      </c>
      <c r="O59" s="675">
        <f t="shared" si="31"/>
        <v>0</v>
      </c>
      <c r="P59" s="263"/>
      <c r="Q59" s="263"/>
    </row>
    <row r="60" spans="1:17" x14ac:dyDescent="0.25">
      <c r="A60" s="263"/>
      <c r="B60" s="263"/>
      <c r="C60" s="263"/>
      <c r="D60" s="263"/>
      <c r="E60" s="263"/>
      <c r="F60" s="263"/>
      <c r="G60" s="263"/>
      <c r="H60" s="263"/>
      <c r="I60" s="263"/>
      <c r="J60" s="263"/>
      <c r="K60" s="263"/>
      <c r="L60" s="263"/>
      <c r="M60" s="263"/>
      <c r="N60" s="263"/>
      <c r="O60" s="263"/>
      <c r="P60" s="264"/>
      <c r="Q60" s="263"/>
    </row>
    <row r="61" spans="1:17" x14ac:dyDescent="0.25">
      <c r="A61" s="117"/>
      <c r="B61" s="124"/>
      <c r="C61" s="263" t="s">
        <v>166</v>
      </c>
      <c r="D61" s="44" t="s">
        <v>49</v>
      </c>
      <c r="E61" s="44" t="s">
        <v>47</v>
      </c>
      <c r="F61" s="118" t="s">
        <v>118</v>
      </c>
      <c r="G61" s="37">
        <f>Inputs_Delivery_Effort!S28</f>
        <v>0.2</v>
      </c>
      <c r="H61" s="37">
        <f>Inputs_Delivery_Effort!T28</f>
        <v>0.2</v>
      </c>
      <c r="I61" s="37">
        <f>Inputs_Delivery_Effort!U28</f>
        <v>0.2</v>
      </c>
      <c r="J61" s="37">
        <f>Inputs_Delivery_Effort!V28</f>
        <v>0.2</v>
      </c>
      <c r="K61" s="37">
        <f>Inputs_Delivery_Effort!W28</f>
        <v>0.2</v>
      </c>
      <c r="L61" s="37">
        <f>Inputs_Delivery_Effort!X28</f>
        <v>0.2</v>
      </c>
      <c r="M61" s="37">
        <f>Inputs_Delivery_Effort!Y28</f>
        <v>0.2</v>
      </c>
      <c r="N61" s="37">
        <f>Inputs_Delivery_Effort!Z28</f>
        <v>0.2</v>
      </c>
      <c r="O61" s="37">
        <f>Inputs_Delivery_Effort!AA28</f>
        <v>0.2</v>
      </c>
      <c r="P61" s="263"/>
      <c r="Q61" s="263"/>
    </row>
    <row r="62" spans="1:17" x14ac:dyDescent="0.25">
      <c r="A62" s="117"/>
      <c r="B62" s="124"/>
      <c r="C62" s="263" t="s">
        <v>166</v>
      </c>
      <c r="D62" s="44" t="s">
        <v>30</v>
      </c>
      <c r="E62" s="44" t="s">
        <v>42</v>
      </c>
      <c r="F62" s="118"/>
      <c r="G62" s="675">
        <f>G59*G61</f>
        <v>264.00000000000006</v>
      </c>
      <c r="H62" s="675">
        <f t="shared" ref="H62" si="32">H59*H61</f>
        <v>264.00000000000006</v>
      </c>
      <c r="I62" s="675">
        <f t="shared" ref="I62" si="33">I59*I61</f>
        <v>264.00000000000006</v>
      </c>
      <c r="J62" s="675">
        <f t="shared" ref="J62" si="34">J59*J61</f>
        <v>264.00000000000006</v>
      </c>
      <c r="K62" s="675">
        <f t="shared" ref="K62" si="35">K59*K61</f>
        <v>0</v>
      </c>
      <c r="L62" s="675">
        <f t="shared" ref="L62" si="36">L59*L61</f>
        <v>0</v>
      </c>
      <c r="M62" s="675">
        <f t="shared" ref="M62" si="37">M59*M61</f>
        <v>457.52888888888896</v>
      </c>
      <c r="N62" s="675">
        <f t="shared" ref="N62" si="38">N59*N61</f>
        <v>22.876444444444445</v>
      </c>
      <c r="O62" s="675">
        <f t="shared" ref="O62" si="39">O59*O61</f>
        <v>0</v>
      </c>
      <c r="P62" s="263"/>
      <c r="Q62" s="263"/>
    </row>
    <row r="63" spans="1:17" x14ac:dyDescent="0.25">
      <c r="A63" s="263"/>
      <c r="B63" s="263"/>
      <c r="C63" s="263"/>
      <c r="D63" s="263"/>
      <c r="E63" s="263"/>
      <c r="F63" s="263"/>
      <c r="G63" s="263"/>
      <c r="H63" s="263"/>
      <c r="I63" s="263"/>
      <c r="J63" s="263"/>
      <c r="K63" s="263"/>
      <c r="L63" s="263"/>
      <c r="M63" s="263"/>
      <c r="N63" s="263"/>
      <c r="O63" s="263"/>
      <c r="P63" s="263"/>
      <c r="Q63" s="263"/>
    </row>
    <row r="64" spans="1:17" x14ac:dyDescent="0.25">
      <c r="A64" s="263"/>
      <c r="B64" s="263"/>
      <c r="C64" s="125" t="s">
        <v>168</v>
      </c>
      <c r="D64" s="125"/>
      <c r="E64" s="125"/>
      <c r="F64" s="126"/>
      <c r="G64" s="126"/>
      <c r="H64" s="126"/>
      <c r="I64" s="126"/>
      <c r="J64" s="126"/>
      <c r="K64" s="126"/>
      <c r="L64" s="126"/>
      <c r="M64" s="126"/>
      <c r="N64" s="126"/>
      <c r="O64" s="126"/>
      <c r="P64" s="263"/>
      <c r="Q64" s="263"/>
    </row>
    <row r="65" spans="1:17" x14ac:dyDescent="0.25">
      <c r="A65" s="263"/>
      <c r="B65" s="263"/>
      <c r="C65" s="263"/>
      <c r="D65" s="263"/>
      <c r="E65" s="263"/>
      <c r="F65" s="263"/>
      <c r="G65" s="263"/>
      <c r="H65" s="263"/>
      <c r="I65" s="263"/>
      <c r="J65" s="263"/>
      <c r="K65" s="263"/>
      <c r="L65" s="263"/>
      <c r="M65" s="263"/>
      <c r="N65" s="263"/>
      <c r="O65" s="263"/>
      <c r="P65" s="263"/>
      <c r="Q65" s="263"/>
    </row>
    <row r="66" spans="1:17" x14ac:dyDescent="0.25">
      <c r="A66" s="263"/>
      <c r="B66" s="263"/>
      <c r="C66" s="263" t="s">
        <v>168</v>
      </c>
      <c r="D66" s="44" t="s">
        <v>51</v>
      </c>
      <c r="E66" s="44" t="s">
        <v>50</v>
      </c>
      <c r="F66" s="118" t="s">
        <v>214</v>
      </c>
      <c r="G66" s="673">
        <f>Inputs_Delivery_Effort!S31</f>
        <v>3.3000000000000003</v>
      </c>
      <c r="H66" s="673">
        <f>Inputs_Delivery_Effort!T31</f>
        <v>3.3000000000000003</v>
      </c>
      <c r="I66" s="673">
        <f>Inputs_Delivery_Effort!U31</f>
        <v>3.3000000000000003</v>
      </c>
      <c r="J66" s="673">
        <f>Inputs_Delivery_Effort!V31</f>
        <v>3.3000000000000003</v>
      </c>
      <c r="K66" s="673">
        <f>Inputs_Delivery_Effort!W31</f>
        <v>0</v>
      </c>
      <c r="L66" s="673">
        <f>Inputs_Delivery_Effort!X31</f>
        <v>0</v>
      </c>
      <c r="M66" s="673">
        <f>Inputs_Delivery_Effort!Y31</f>
        <v>0</v>
      </c>
      <c r="N66" s="673">
        <f>Inputs_Delivery_Effort!Z31</f>
        <v>0</v>
      </c>
      <c r="O66" s="673">
        <f>Inputs_Delivery_Effort!AA31</f>
        <v>0</v>
      </c>
      <c r="P66" s="263"/>
      <c r="Q66" s="263"/>
    </row>
    <row r="67" spans="1:17" x14ac:dyDescent="0.25">
      <c r="A67" s="263"/>
      <c r="B67" s="263"/>
      <c r="C67" s="263" t="s">
        <v>168</v>
      </c>
      <c r="D67" s="263" t="s">
        <v>51</v>
      </c>
      <c r="E67" s="263" t="s">
        <v>50</v>
      </c>
      <c r="F67" s="263" t="s">
        <v>117</v>
      </c>
      <c r="G67" s="674">
        <f>Inputs_Delivery_Effort!S33</f>
        <v>0.2</v>
      </c>
      <c r="H67" s="674">
        <f>Inputs_Delivery_Effort!T33</f>
        <v>0.2</v>
      </c>
      <c r="I67" s="674">
        <f>Inputs_Delivery_Effort!U33</f>
        <v>0.2</v>
      </c>
      <c r="J67" s="674">
        <f>Inputs_Delivery_Effort!V33</f>
        <v>0.2</v>
      </c>
      <c r="K67" s="674">
        <f>Inputs_Delivery_Effort!W33</f>
        <v>0</v>
      </c>
      <c r="L67" s="674">
        <f>Inputs_Delivery_Effort!X33</f>
        <v>0</v>
      </c>
      <c r="M67" s="674">
        <f>Inputs_Delivery_Effort!Y33</f>
        <v>0.2</v>
      </c>
      <c r="N67" s="674">
        <f>Inputs_Delivery_Effort!Z33</f>
        <v>0.2</v>
      </c>
      <c r="O67" s="674">
        <f>Inputs_Delivery_Effort!AA33</f>
        <v>0</v>
      </c>
      <c r="P67" s="263"/>
      <c r="Q67" s="263"/>
    </row>
    <row r="68" spans="1:17" x14ac:dyDescent="0.25">
      <c r="A68" s="263"/>
      <c r="B68" s="263"/>
      <c r="C68" s="263" t="s">
        <v>168</v>
      </c>
      <c r="D68" s="263" t="s">
        <v>48</v>
      </c>
      <c r="E68" s="263" t="s">
        <v>50</v>
      </c>
      <c r="F68" s="263" t="s">
        <v>258</v>
      </c>
      <c r="G68" s="671">
        <f>Inputs_Delivery_Effort!S34</f>
        <v>0</v>
      </c>
      <c r="H68" s="671">
        <f>Inputs_Delivery_Effort!T34</f>
        <v>0</v>
      </c>
      <c r="I68" s="671">
        <f>Inputs_Delivery_Effort!U34</f>
        <v>0</v>
      </c>
      <c r="J68" s="671">
        <f>Inputs_Delivery_Effort!V34</f>
        <v>0</v>
      </c>
      <c r="K68" s="671">
        <f>Inputs_Delivery_Effort!W34</f>
        <v>0</v>
      </c>
      <c r="L68" s="671">
        <f>Inputs_Delivery_Effort!X34</f>
        <v>0</v>
      </c>
      <c r="M68" s="671">
        <f>Inputs_Delivery_Effort!Y34</f>
        <v>100</v>
      </c>
      <c r="N68" s="671">
        <f>Inputs_Delivery_Effort!Z34</f>
        <v>5</v>
      </c>
      <c r="O68" s="671">
        <f>Inputs_Delivery_Effort!AA34</f>
        <v>0</v>
      </c>
      <c r="P68" s="263"/>
      <c r="Q68" s="263"/>
    </row>
    <row r="69" spans="1:17" x14ac:dyDescent="0.25">
      <c r="A69" s="263"/>
      <c r="B69" s="263"/>
      <c r="C69" s="263" t="s">
        <v>168</v>
      </c>
      <c r="D69" s="263" t="s">
        <v>30</v>
      </c>
      <c r="E69" s="263" t="s">
        <v>50</v>
      </c>
      <c r="F69" s="118" t="s">
        <v>70</v>
      </c>
      <c r="G69" s="112">
        <f>Inputs_CPs!F$11</f>
        <v>142.97777777777776</v>
      </c>
      <c r="H69" s="112">
        <f>Inputs_CPs!G$11</f>
        <v>142.97777777777776</v>
      </c>
      <c r="I69" s="112">
        <f>Inputs_CPs!H$11</f>
        <v>142.97777777777776</v>
      </c>
      <c r="J69" s="112">
        <f>Inputs_CPs!I$11</f>
        <v>142.97777777777776</v>
      </c>
      <c r="K69" s="112">
        <f>Inputs_CPs!N$11</f>
        <v>142.97777777777776</v>
      </c>
      <c r="L69" s="112">
        <f>Inputs_CPs!O$11</f>
        <v>142.97777777777776</v>
      </c>
      <c r="M69" s="112">
        <f>Inputs_CPs!K$11</f>
        <v>142.97777777777776</v>
      </c>
      <c r="N69" s="112">
        <f>Inputs_CPs!L$11</f>
        <v>142.97777777777776</v>
      </c>
      <c r="O69" s="112">
        <f>Inputs_CPs!M$11</f>
        <v>142.97777777777776</v>
      </c>
      <c r="P69" s="263"/>
      <c r="Q69" s="263"/>
    </row>
    <row r="70" spans="1:17" x14ac:dyDescent="0.25">
      <c r="A70" s="263"/>
      <c r="B70" s="263"/>
      <c r="C70" s="263" t="s">
        <v>168</v>
      </c>
      <c r="D70" s="263" t="s">
        <v>30</v>
      </c>
      <c r="E70" s="263" t="s">
        <v>43</v>
      </c>
      <c r="F70" s="263"/>
      <c r="G70" s="675">
        <f t="shared" ref="G70:O70" si="40">(G67*G69*G68)+(G66*IT_Consultant_Daily_Rate)</f>
        <v>1650.0000000000002</v>
      </c>
      <c r="H70" s="675">
        <f t="shared" si="40"/>
        <v>1650.0000000000002</v>
      </c>
      <c r="I70" s="675">
        <f t="shared" si="40"/>
        <v>1650.0000000000002</v>
      </c>
      <c r="J70" s="675">
        <f t="shared" si="40"/>
        <v>1650.0000000000002</v>
      </c>
      <c r="K70" s="675">
        <f t="shared" si="40"/>
        <v>0</v>
      </c>
      <c r="L70" s="675">
        <f t="shared" si="40"/>
        <v>0</v>
      </c>
      <c r="M70" s="675">
        <f t="shared" si="40"/>
        <v>2859.5555555555552</v>
      </c>
      <c r="N70" s="675">
        <f t="shared" si="40"/>
        <v>142.97777777777776</v>
      </c>
      <c r="O70" s="675">
        <f t="shared" si="40"/>
        <v>0</v>
      </c>
      <c r="P70" s="263"/>
      <c r="Q70" s="263"/>
    </row>
    <row r="71" spans="1:17" x14ac:dyDescent="0.25">
      <c r="A71" s="263"/>
      <c r="B71" s="263"/>
      <c r="C71" s="263"/>
      <c r="D71" s="263"/>
      <c r="E71" s="263"/>
      <c r="F71" s="263"/>
      <c r="G71" s="263"/>
      <c r="H71" s="263"/>
      <c r="I71" s="263"/>
      <c r="J71" s="263"/>
      <c r="K71" s="263"/>
      <c r="L71" s="263"/>
      <c r="M71" s="263"/>
      <c r="N71" s="263"/>
      <c r="O71" s="263"/>
      <c r="P71" s="263"/>
      <c r="Q71" s="263"/>
    </row>
    <row r="72" spans="1:17" x14ac:dyDescent="0.25">
      <c r="A72" s="263"/>
      <c r="B72" s="263"/>
      <c r="C72" s="263" t="s">
        <v>168</v>
      </c>
      <c r="D72" s="44" t="s">
        <v>49</v>
      </c>
      <c r="E72" s="44" t="s">
        <v>47</v>
      </c>
      <c r="F72" s="118" t="s">
        <v>118</v>
      </c>
      <c r="G72" s="37">
        <f>Inputs_Delivery_Effort!S32</f>
        <v>0.2</v>
      </c>
      <c r="H72" s="37">
        <f>Inputs_Delivery_Effort!T32</f>
        <v>0.2</v>
      </c>
      <c r="I72" s="37">
        <f>Inputs_Delivery_Effort!U32</f>
        <v>0.2</v>
      </c>
      <c r="J72" s="37">
        <f>Inputs_Delivery_Effort!V32</f>
        <v>0.2</v>
      </c>
      <c r="K72" s="37">
        <f>Inputs_Delivery_Effort!W32</f>
        <v>0.2</v>
      </c>
      <c r="L72" s="37">
        <f>Inputs_Delivery_Effort!X32</f>
        <v>0.2</v>
      </c>
      <c r="M72" s="37">
        <f>Inputs_Delivery_Effort!Y32</f>
        <v>0.2</v>
      </c>
      <c r="N72" s="37">
        <f>Inputs_Delivery_Effort!Z32</f>
        <v>0.2</v>
      </c>
      <c r="O72" s="37">
        <f>Inputs_Delivery_Effort!AA32</f>
        <v>0.2</v>
      </c>
      <c r="P72" s="263"/>
      <c r="Q72" s="263"/>
    </row>
    <row r="73" spans="1:17" x14ac:dyDescent="0.25">
      <c r="A73" s="263"/>
      <c r="B73" s="263"/>
      <c r="C73" s="263" t="s">
        <v>168</v>
      </c>
      <c r="D73" s="44" t="s">
        <v>30</v>
      </c>
      <c r="E73" s="44" t="s">
        <v>42</v>
      </c>
      <c r="F73" s="118"/>
      <c r="G73" s="675">
        <f>G70*G72</f>
        <v>330.00000000000006</v>
      </c>
      <c r="H73" s="675">
        <f t="shared" ref="H73" si="41">H70*H72</f>
        <v>330.00000000000006</v>
      </c>
      <c r="I73" s="675">
        <f t="shared" ref="I73" si="42">I70*I72</f>
        <v>330.00000000000006</v>
      </c>
      <c r="J73" s="675">
        <f t="shared" ref="J73" si="43">J70*J72</f>
        <v>330.00000000000006</v>
      </c>
      <c r="K73" s="675">
        <f t="shared" ref="K73" si="44">K70*K72</f>
        <v>0</v>
      </c>
      <c r="L73" s="675">
        <f t="shared" ref="L73" si="45">L70*L72</f>
        <v>0</v>
      </c>
      <c r="M73" s="675">
        <f t="shared" ref="M73" si="46">M70*M72</f>
        <v>571.91111111111104</v>
      </c>
      <c r="N73" s="675">
        <f t="shared" ref="N73" si="47">N70*N72</f>
        <v>28.595555555555553</v>
      </c>
      <c r="O73" s="675">
        <f t="shared" ref="O73" si="48">O70*O72</f>
        <v>0</v>
      </c>
      <c r="P73" s="263"/>
      <c r="Q73" s="263"/>
    </row>
    <row r="74" spans="1:17" x14ac:dyDescent="0.25">
      <c r="A74" s="263"/>
      <c r="B74" s="263"/>
      <c r="C74" s="263"/>
      <c r="D74" s="263"/>
      <c r="E74" s="263"/>
      <c r="F74" s="263"/>
      <c r="G74" s="263"/>
      <c r="H74" s="263"/>
      <c r="I74" s="263"/>
      <c r="J74" s="263"/>
      <c r="K74" s="263"/>
      <c r="L74" s="263"/>
      <c r="M74" s="263"/>
      <c r="N74" s="263"/>
      <c r="O74" s="263"/>
      <c r="P74" s="263"/>
      <c r="Q74" s="263"/>
    </row>
    <row r="75" spans="1:17" x14ac:dyDescent="0.25">
      <c r="A75" s="263"/>
      <c r="B75" s="263"/>
      <c r="C75" s="263"/>
      <c r="D75" s="263"/>
      <c r="E75" s="263"/>
      <c r="F75" s="263"/>
      <c r="G75" s="263"/>
      <c r="H75" s="263"/>
      <c r="I75" s="263"/>
      <c r="J75" s="263"/>
      <c r="K75" s="263"/>
      <c r="L75" s="263"/>
      <c r="M75" s="263"/>
      <c r="N75" s="263"/>
      <c r="O75" s="263"/>
      <c r="P75" s="263"/>
      <c r="Q75" s="263"/>
    </row>
    <row r="76" spans="1:17" x14ac:dyDescent="0.25">
      <c r="A76" s="263"/>
      <c r="B76" s="263"/>
      <c r="C76" s="263"/>
      <c r="D76" s="263"/>
      <c r="E76" s="263"/>
      <c r="F76" s="263"/>
      <c r="G76" s="263"/>
      <c r="H76" s="263"/>
      <c r="I76" s="263"/>
      <c r="J76" s="263"/>
      <c r="K76" s="263"/>
      <c r="L76" s="263"/>
      <c r="M76" s="263"/>
      <c r="N76" s="263"/>
      <c r="O76" s="263"/>
    </row>
    <row r="77" spans="1:17" s="42" customFormat="1" x14ac:dyDescent="0.25">
      <c r="A77" s="264"/>
      <c r="B77" s="264"/>
      <c r="C77" s="264"/>
      <c r="D77" s="264"/>
      <c r="E77" s="264"/>
      <c r="F77" s="264"/>
      <c r="G77" s="264"/>
      <c r="H77" s="264"/>
      <c r="I77" s="264"/>
      <c r="J77" s="264"/>
      <c r="K77" s="264"/>
      <c r="L77" s="264"/>
      <c r="M77" s="264"/>
      <c r="N77" s="264"/>
      <c r="O77" s="264"/>
    </row>
  </sheetData>
  <mergeCells count="1">
    <mergeCell ref="G4:J4"/>
  </mergeCells>
  <pageMargins left="0.7" right="0.7" top="0.75" bottom="0.75" header="0.3" footer="0.3"/>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32"/>
  <sheetViews>
    <sheetView showGridLines="0" zoomScale="80" zoomScaleNormal="80" workbookViewId="0">
      <pane ySplit="5" topLeftCell="A15" activePane="bottomLeft" state="frozen"/>
      <selection activeCell="R56" sqref="R56"/>
      <selection pane="bottomLeft"/>
    </sheetView>
  </sheetViews>
  <sheetFormatPr defaultRowHeight="15" x14ac:dyDescent="0.25"/>
  <cols>
    <col min="1" max="1" width="3.28515625" customWidth="1"/>
    <col min="2" max="2" width="14.28515625" bestFit="1" customWidth="1"/>
    <col min="3" max="3" width="38.28515625" customWidth="1"/>
    <col min="4" max="4" width="8.28515625" bestFit="1" customWidth="1"/>
    <col min="5" max="5" width="14.85546875" bestFit="1" customWidth="1"/>
    <col min="6" max="6" width="68.5703125" bestFit="1" customWidth="1"/>
  </cols>
  <sheetData>
    <row r="1" spans="1:16" x14ac:dyDescent="0.25">
      <c r="A1" s="117"/>
      <c r="B1" s="117"/>
      <c r="C1" s="44"/>
      <c r="D1" s="44"/>
      <c r="E1" s="44"/>
      <c r="F1" s="118"/>
      <c r="G1" s="263"/>
      <c r="H1" s="263"/>
      <c r="I1" s="263"/>
      <c r="J1" s="263"/>
      <c r="K1" s="263"/>
      <c r="L1" s="263"/>
      <c r="M1" s="263"/>
      <c r="N1" s="263"/>
      <c r="O1" s="263"/>
      <c r="P1" s="263"/>
    </row>
    <row r="2" spans="1:16" x14ac:dyDescent="0.25">
      <c r="A2" s="117"/>
      <c r="B2" s="117" t="s">
        <v>0</v>
      </c>
      <c r="C2" s="119" t="str">
        <f ca="1">MID(CELL("filename",A1),FIND("]",CELL("filename",A1))+1,256)</f>
        <v>GPL-EMP System Workings</v>
      </c>
      <c r="D2" s="44"/>
      <c r="E2" s="44"/>
      <c r="F2" s="118"/>
      <c r="G2" s="263"/>
      <c r="H2" s="263"/>
      <c r="I2" s="263"/>
      <c r="J2" s="263"/>
      <c r="K2" s="263"/>
      <c r="L2" s="263"/>
      <c r="M2" s="263"/>
      <c r="N2" s="263"/>
      <c r="O2" s="263"/>
      <c r="P2" s="263"/>
    </row>
    <row r="3" spans="1:16" x14ac:dyDescent="0.25">
      <c r="A3" s="117"/>
      <c r="B3" s="117" t="s">
        <v>1</v>
      </c>
      <c r="C3" s="118" t="s">
        <v>318</v>
      </c>
      <c r="D3" s="44"/>
      <c r="E3" s="44"/>
      <c r="F3" s="118"/>
      <c r="G3" s="263"/>
      <c r="H3" s="263"/>
      <c r="I3" s="263"/>
      <c r="J3" s="263"/>
      <c r="K3" s="263"/>
      <c r="L3" s="263"/>
      <c r="M3" s="263"/>
      <c r="N3" s="263"/>
      <c r="O3" s="263"/>
      <c r="P3" s="263"/>
    </row>
    <row r="4" spans="1:16" x14ac:dyDescent="0.25">
      <c r="A4" s="117"/>
      <c r="B4" s="117"/>
      <c r="C4" s="44"/>
      <c r="D4" s="44"/>
      <c r="E4" s="44"/>
      <c r="F4" s="118"/>
      <c r="G4" s="710" t="s">
        <v>83</v>
      </c>
      <c r="H4" s="710"/>
      <c r="I4" s="710"/>
      <c r="J4" s="710"/>
      <c r="K4" s="263"/>
      <c r="L4" s="263"/>
      <c r="M4" s="263"/>
      <c r="N4" s="263"/>
      <c r="O4" s="264"/>
      <c r="P4" s="263"/>
    </row>
    <row r="5" spans="1:16" x14ac:dyDescent="0.25">
      <c r="A5" s="120"/>
      <c r="B5" s="120" t="s">
        <v>27</v>
      </c>
      <c r="C5" s="121" t="s">
        <v>28</v>
      </c>
      <c r="D5" s="121" t="s">
        <v>29</v>
      </c>
      <c r="E5" s="121" t="s">
        <v>130</v>
      </c>
      <c r="F5" s="122" t="s">
        <v>173</v>
      </c>
      <c r="G5" s="19" t="s">
        <v>59</v>
      </c>
      <c r="H5" s="19" t="s">
        <v>62</v>
      </c>
      <c r="I5" s="19" t="s">
        <v>56</v>
      </c>
      <c r="J5" s="19" t="s">
        <v>72</v>
      </c>
      <c r="K5" s="19" t="s">
        <v>46</v>
      </c>
      <c r="L5" s="19" t="s">
        <v>79</v>
      </c>
      <c r="M5" s="19" t="s">
        <v>82</v>
      </c>
      <c r="N5" s="19" t="s">
        <v>81</v>
      </c>
      <c r="O5" s="19" t="s">
        <v>90</v>
      </c>
      <c r="P5" s="263"/>
    </row>
    <row r="6" spans="1:16" x14ac:dyDescent="0.25">
      <c r="A6" s="117"/>
      <c r="B6" s="117"/>
      <c r="C6" s="44"/>
      <c r="D6" s="44"/>
      <c r="E6" s="44"/>
      <c r="F6" s="118"/>
      <c r="G6" s="263"/>
      <c r="H6" s="263"/>
      <c r="I6" s="263"/>
      <c r="J6" s="263"/>
      <c r="K6" s="263"/>
      <c r="L6" s="263"/>
      <c r="M6" s="263"/>
      <c r="N6" s="263"/>
      <c r="O6" s="263"/>
      <c r="P6" s="263"/>
    </row>
    <row r="7" spans="1:16" x14ac:dyDescent="0.25">
      <c r="A7" s="117"/>
      <c r="B7" s="123" t="s">
        <v>174</v>
      </c>
      <c r="C7" s="44" t="s">
        <v>43</v>
      </c>
      <c r="D7" s="44"/>
      <c r="E7" s="44"/>
      <c r="F7" s="118"/>
      <c r="G7" s="677">
        <f>SUMIF($E$11:$E$125,"CAPEX",G11:G125)</f>
        <v>322575</v>
      </c>
      <c r="H7" s="677">
        <f>SUMIF($E$11:$E$125,"CAPEX",H11:H125)</f>
        <v>478175</v>
      </c>
      <c r="I7" s="677">
        <f t="shared" ref="I7:O7" si="0">SUMIF($E$11:$E$125,"CAPEX",I11:I125)</f>
        <v>322575</v>
      </c>
      <c r="J7" s="677">
        <f t="shared" si="0"/>
        <v>322575</v>
      </c>
      <c r="K7" s="677">
        <f t="shared" si="0"/>
        <v>217800.00000000006</v>
      </c>
      <c r="L7" s="677">
        <f t="shared" si="0"/>
        <v>190575.00000000003</v>
      </c>
      <c r="M7" s="677">
        <f t="shared" si="0"/>
        <v>148087.5</v>
      </c>
      <c r="N7" s="677">
        <f t="shared" si="0"/>
        <v>0</v>
      </c>
      <c r="O7" s="677">
        <f t="shared" si="0"/>
        <v>148087.5</v>
      </c>
      <c r="P7" s="263"/>
    </row>
    <row r="8" spans="1:16" x14ac:dyDescent="0.25">
      <c r="A8" s="117"/>
      <c r="B8" s="117"/>
      <c r="C8" s="44" t="s">
        <v>42</v>
      </c>
      <c r="D8" s="44"/>
      <c r="E8" s="44"/>
      <c r="F8" s="118"/>
      <c r="G8" s="677">
        <f t="shared" ref="G8:O8" si="1">SUMIF($E$11:$E$125,"OPEX",G11:G125)/(1+CAPEX_Factor)</f>
        <v>53295</v>
      </c>
      <c r="H8" s="677">
        <f t="shared" si="1"/>
        <v>70455</v>
      </c>
      <c r="I8" s="677">
        <f t="shared" si="1"/>
        <v>53295</v>
      </c>
      <c r="J8" s="677">
        <f t="shared" si="1"/>
        <v>53295</v>
      </c>
      <c r="K8" s="677">
        <f t="shared" si="1"/>
        <v>43560.000000000015</v>
      </c>
      <c r="L8" s="677">
        <f t="shared" si="1"/>
        <v>28215.000000000007</v>
      </c>
      <c r="M8" s="677">
        <f t="shared" si="1"/>
        <v>24007.5</v>
      </c>
      <c r="N8" s="677">
        <f t="shared" si="1"/>
        <v>0</v>
      </c>
      <c r="O8" s="677">
        <f t="shared" si="1"/>
        <v>24007.5</v>
      </c>
      <c r="P8" s="263"/>
    </row>
    <row r="9" spans="1:16" x14ac:dyDescent="0.25">
      <c r="A9" s="117"/>
      <c r="B9" s="124"/>
      <c r="C9" s="125" t="s">
        <v>140</v>
      </c>
      <c r="D9" s="125"/>
      <c r="E9" s="125"/>
      <c r="F9" s="126"/>
      <c r="G9" s="126"/>
      <c r="H9" s="126"/>
      <c r="I9" s="126"/>
      <c r="J9" s="126"/>
      <c r="K9" s="126"/>
      <c r="L9" s="126"/>
      <c r="M9" s="126"/>
      <c r="N9" s="126"/>
      <c r="O9" s="126"/>
      <c r="P9" s="263"/>
    </row>
    <row r="10" spans="1:16" x14ac:dyDescent="0.25">
      <c r="A10" s="127"/>
      <c r="B10" s="124"/>
      <c r="C10" s="124"/>
      <c r="D10" s="124"/>
      <c r="E10" s="124"/>
      <c r="F10" s="128"/>
      <c r="G10" s="263"/>
      <c r="H10" s="263"/>
      <c r="I10" s="263"/>
      <c r="J10" s="263"/>
      <c r="K10" s="263"/>
      <c r="L10" s="263"/>
      <c r="M10" s="263"/>
      <c r="N10" s="263"/>
      <c r="O10" s="263"/>
      <c r="P10" s="263"/>
    </row>
    <row r="11" spans="1:16" x14ac:dyDescent="0.25">
      <c r="A11" s="129"/>
      <c r="B11" s="124"/>
      <c r="C11" s="44" t="s">
        <v>140</v>
      </c>
      <c r="D11" s="44" t="s">
        <v>61</v>
      </c>
      <c r="E11" s="44" t="s">
        <v>50</v>
      </c>
      <c r="F11" s="118" t="s">
        <v>152</v>
      </c>
      <c r="G11" s="673">
        <f>Inputs_Delivery_Effort!S35</f>
        <v>6.6000000000000005</v>
      </c>
      <c r="H11" s="673">
        <f>Inputs_Delivery_Effort!T35</f>
        <v>17.160000000000004</v>
      </c>
      <c r="I11" s="673">
        <f>Inputs_Delivery_Effort!U35</f>
        <v>6.6000000000000005</v>
      </c>
      <c r="J11" s="673">
        <f>Inputs_Delivery_Effort!V35</f>
        <v>6.6000000000000005</v>
      </c>
      <c r="K11" s="673">
        <f>Inputs_Delivery_Effort!W35</f>
        <v>0</v>
      </c>
      <c r="L11" s="673">
        <f>Inputs_Delivery_Effort!X35</f>
        <v>0</v>
      </c>
      <c r="M11" s="673">
        <f>Inputs_Delivery_Effort!Y35</f>
        <v>3.3000000000000003</v>
      </c>
      <c r="N11" s="673">
        <f>Inputs_Delivery_Effort!Z35</f>
        <v>0</v>
      </c>
      <c r="O11" s="673">
        <f>Inputs_Delivery_Effort!AA35</f>
        <v>3.3000000000000003</v>
      </c>
      <c r="P11" s="263"/>
    </row>
    <row r="12" spans="1:16" x14ac:dyDescent="0.25">
      <c r="A12" s="117"/>
      <c r="B12" s="124"/>
      <c r="C12" s="44" t="s">
        <v>140</v>
      </c>
      <c r="D12" s="44" t="s">
        <v>30</v>
      </c>
      <c r="E12" s="44" t="s">
        <v>50</v>
      </c>
      <c r="F12" s="118" t="s">
        <v>119</v>
      </c>
      <c r="G12" s="677">
        <f>Inputs_Delivery_Effort!S36</f>
        <v>0</v>
      </c>
      <c r="H12" s="677">
        <f>Inputs_Delivery_Effort!T36</f>
        <v>10000</v>
      </c>
      <c r="I12" s="677">
        <f>Inputs_Delivery_Effort!U36</f>
        <v>0</v>
      </c>
      <c r="J12" s="677">
        <f>Inputs_Delivery_Effort!V36</f>
        <v>0</v>
      </c>
      <c r="K12" s="677">
        <f>Inputs_Delivery_Effort!W36</f>
        <v>0</v>
      </c>
      <c r="L12" s="677">
        <f>Inputs_Delivery_Effort!X36</f>
        <v>0</v>
      </c>
      <c r="M12" s="677">
        <f>Inputs_Delivery_Effort!Y36</f>
        <v>0</v>
      </c>
      <c r="N12" s="677">
        <f>Inputs_Delivery_Effort!Z36</f>
        <v>0</v>
      </c>
      <c r="O12" s="677">
        <f>Inputs_Delivery_Effort!AA36</f>
        <v>0</v>
      </c>
      <c r="P12" s="263"/>
    </row>
    <row r="13" spans="1:16" x14ac:dyDescent="0.25">
      <c r="A13" s="117"/>
      <c r="B13" s="124"/>
      <c r="C13" s="44" t="s">
        <v>140</v>
      </c>
      <c r="D13" s="44" t="s">
        <v>30</v>
      </c>
      <c r="E13" s="44" t="s">
        <v>43</v>
      </c>
      <c r="F13" s="118"/>
      <c r="G13" s="675">
        <f>(G11*IT_Consultant_Daily_Rate)+G12</f>
        <v>3300.0000000000005</v>
      </c>
      <c r="H13" s="675">
        <f>(H11*IT_Consultant_Daily_Rate)+H12</f>
        <v>18580</v>
      </c>
      <c r="I13" s="675">
        <f t="shared" ref="I13:O13" si="2">(I11*IT_Consultant_Daily_Rate)+I12</f>
        <v>3300.0000000000005</v>
      </c>
      <c r="J13" s="675">
        <f t="shared" si="2"/>
        <v>3300.0000000000005</v>
      </c>
      <c r="K13" s="675">
        <f t="shared" si="2"/>
        <v>0</v>
      </c>
      <c r="L13" s="675">
        <f t="shared" si="2"/>
        <v>0</v>
      </c>
      <c r="M13" s="675">
        <f t="shared" si="2"/>
        <v>1650.0000000000002</v>
      </c>
      <c r="N13" s="675">
        <f t="shared" si="2"/>
        <v>0</v>
      </c>
      <c r="O13" s="675">
        <f t="shared" si="2"/>
        <v>1650.0000000000002</v>
      </c>
      <c r="P13" s="263"/>
    </row>
    <row r="14" spans="1:16" x14ac:dyDescent="0.25">
      <c r="A14" s="117"/>
      <c r="B14" s="124"/>
      <c r="C14" s="44"/>
      <c r="D14" s="44"/>
      <c r="E14" s="44"/>
      <c r="F14" s="118"/>
      <c r="G14" s="263"/>
      <c r="H14" s="263"/>
      <c r="I14" s="263"/>
      <c r="J14" s="263"/>
      <c r="K14" s="263"/>
      <c r="L14" s="263"/>
      <c r="M14" s="263"/>
      <c r="N14" s="263"/>
      <c r="O14" s="263"/>
      <c r="P14" s="263"/>
    </row>
    <row r="15" spans="1:16" x14ac:dyDescent="0.25">
      <c r="A15" s="117"/>
      <c r="B15" s="124"/>
      <c r="C15" s="44" t="s">
        <v>140</v>
      </c>
      <c r="D15" s="44" t="s">
        <v>49</v>
      </c>
      <c r="E15" s="44" t="s">
        <v>47</v>
      </c>
      <c r="F15" s="118" t="s">
        <v>120</v>
      </c>
      <c r="G15" s="37">
        <f>Inputs_Delivery_Effort!S37</f>
        <v>0.2</v>
      </c>
      <c r="H15" s="37">
        <f>Inputs_Delivery_Effort!T37</f>
        <v>0.2</v>
      </c>
      <c r="I15" s="37">
        <f>Inputs_Delivery_Effort!U37</f>
        <v>0.2</v>
      </c>
      <c r="J15" s="37">
        <f>Inputs_Delivery_Effort!V37</f>
        <v>0.2</v>
      </c>
      <c r="K15" s="37">
        <f>Inputs_Delivery_Effort!W37</f>
        <v>0.2</v>
      </c>
      <c r="L15" s="37">
        <f>Inputs_Delivery_Effort!X37</f>
        <v>0.2</v>
      </c>
      <c r="M15" s="37">
        <f>Inputs_Delivery_Effort!Y37</f>
        <v>0.2</v>
      </c>
      <c r="N15" s="37">
        <f>Inputs_Delivery_Effort!Z37</f>
        <v>0.2</v>
      </c>
      <c r="O15" s="37">
        <f>Inputs_Delivery_Effort!AA37</f>
        <v>0.2</v>
      </c>
      <c r="P15" s="263"/>
    </row>
    <row r="16" spans="1:16" x14ac:dyDescent="0.25">
      <c r="A16" s="117"/>
      <c r="B16" s="124"/>
      <c r="C16" s="44" t="s">
        <v>140</v>
      </c>
      <c r="D16" s="44" t="s">
        <v>30</v>
      </c>
      <c r="E16" s="44" t="s">
        <v>42</v>
      </c>
      <c r="F16" s="118"/>
      <c r="G16" s="675">
        <f>(G11*IT_Consultant_Daily_Rate)*G15</f>
        <v>660.00000000000011</v>
      </c>
      <c r="H16" s="675">
        <f t="shared" ref="H16:O16" si="3">(H11*IT_Consultant_Daily_Rate)*H15</f>
        <v>1716.0000000000005</v>
      </c>
      <c r="I16" s="675">
        <f t="shared" si="3"/>
        <v>660.00000000000011</v>
      </c>
      <c r="J16" s="675">
        <f t="shared" si="3"/>
        <v>660.00000000000011</v>
      </c>
      <c r="K16" s="675">
        <f t="shared" si="3"/>
        <v>0</v>
      </c>
      <c r="L16" s="675">
        <f t="shared" si="3"/>
        <v>0</v>
      </c>
      <c r="M16" s="675">
        <f t="shared" si="3"/>
        <v>330.00000000000006</v>
      </c>
      <c r="N16" s="675">
        <f t="shared" si="3"/>
        <v>0</v>
      </c>
      <c r="O16" s="675">
        <f t="shared" si="3"/>
        <v>330.00000000000006</v>
      </c>
      <c r="P16" s="263"/>
    </row>
    <row r="17" spans="1:16" x14ac:dyDescent="0.25">
      <c r="A17" s="263"/>
      <c r="B17" s="263"/>
      <c r="C17" s="263"/>
      <c r="D17" s="263"/>
      <c r="E17" s="263"/>
      <c r="F17" s="263"/>
      <c r="G17" s="263"/>
      <c r="H17" s="263"/>
      <c r="I17" s="263"/>
      <c r="J17" s="263"/>
      <c r="K17" s="263"/>
      <c r="L17" s="263"/>
      <c r="M17" s="263"/>
      <c r="N17" s="263"/>
      <c r="O17" s="263"/>
      <c r="P17" s="263"/>
    </row>
    <row r="18" spans="1:16" x14ac:dyDescent="0.25">
      <c r="A18" s="117"/>
      <c r="B18" s="124"/>
      <c r="C18" s="125" t="s">
        <v>145</v>
      </c>
      <c r="D18" s="125"/>
      <c r="E18" s="125"/>
      <c r="F18" s="126"/>
      <c r="G18" s="126"/>
      <c r="H18" s="126"/>
      <c r="I18" s="126"/>
      <c r="J18" s="126"/>
      <c r="K18" s="126"/>
      <c r="L18" s="126"/>
      <c r="M18" s="126"/>
      <c r="N18" s="126"/>
      <c r="O18" s="126"/>
      <c r="P18" s="263"/>
    </row>
    <row r="19" spans="1:16" x14ac:dyDescent="0.25">
      <c r="A19" s="117"/>
      <c r="B19" s="124"/>
      <c r="C19" s="124"/>
      <c r="D19" s="124"/>
      <c r="E19" s="124"/>
      <c r="F19" s="128"/>
      <c r="G19" s="128"/>
      <c r="H19" s="128"/>
      <c r="I19" s="128"/>
      <c r="J19" s="128"/>
      <c r="K19" s="128"/>
      <c r="L19" s="128"/>
      <c r="M19" s="128"/>
      <c r="N19" s="128"/>
      <c r="O19" s="128"/>
      <c r="P19" s="263"/>
    </row>
    <row r="20" spans="1:16" x14ac:dyDescent="0.25">
      <c r="A20" s="263"/>
      <c r="B20" s="263"/>
      <c r="C20" s="263" t="s">
        <v>145</v>
      </c>
      <c r="D20" s="263" t="s">
        <v>61</v>
      </c>
      <c r="E20" s="263" t="s">
        <v>50</v>
      </c>
      <c r="F20" s="263" t="s">
        <v>152</v>
      </c>
      <c r="G20" s="673">
        <f>Inputs_Delivery_Effort!S38</f>
        <v>0</v>
      </c>
      <c r="H20" s="673">
        <f>Inputs_Delivery_Effort!T38</f>
        <v>10.560000000000002</v>
      </c>
      <c r="I20" s="673">
        <f>Inputs_Delivery_Effort!U38</f>
        <v>0</v>
      </c>
      <c r="J20" s="673">
        <f>Inputs_Delivery_Effort!V38</f>
        <v>0</v>
      </c>
      <c r="K20" s="673">
        <f>Inputs_Delivery_Effort!W38</f>
        <v>0</v>
      </c>
      <c r="L20" s="673">
        <f>Inputs_Delivery_Effort!X38</f>
        <v>0</v>
      </c>
      <c r="M20" s="673">
        <f>Inputs_Delivery_Effort!Y38</f>
        <v>0</v>
      </c>
      <c r="N20" s="673">
        <f>Inputs_Delivery_Effort!Z38</f>
        <v>0</v>
      </c>
      <c r="O20" s="673">
        <f>Inputs_Delivery_Effort!AA38</f>
        <v>0</v>
      </c>
      <c r="P20" s="263"/>
    </row>
    <row r="21" spans="1:16" x14ac:dyDescent="0.25">
      <c r="A21" s="263"/>
      <c r="B21" s="263"/>
      <c r="C21" s="263" t="s">
        <v>145</v>
      </c>
      <c r="D21" s="263" t="s">
        <v>30</v>
      </c>
      <c r="E21" s="263" t="s">
        <v>50</v>
      </c>
      <c r="F21" s="263" t="s">
        <v>119</v>
      </c>
      <c r="G21" s="677">
        <f>Inputs_Delivery_Effort!S39</f>
        <v>0</v>
      </c>
      <c r="H21" s="677">
        <f>Inputs_Delivery_Effort!T39</f>
        <v>10000</v>
      </c>
      <c r="I21" s="677">
        <f>Inputs_Delivery_Effort!U39</f>
        <v>0</v>
      </c>
      <c r="J21" s="677">
        <f>Inputs_Delivery_Effort!V39</f>
        <v>0</v>
      </c>
      <c r="K21" s="677">
        <f>Inputs_Delivery_Effort!W39</f>
        <v>0</v>
      </c>
      <c r="L21" s="677">
        <f>Inputs_Delivery_Effort!X39</f>
        <v>0</v>
      </c>
      <c r="M21" s="677">
        <f>Inputs_Delivery_Effort!Y39</f>
        <v>0</v>
      </c>
      <c r="N21" s="677">
        <f>Inputs_Delivery_Effort!Z39</f>
        <v>0</v>
      </c>
      <c r="O21" s="677">
        <f>Inputs_Delivery_Effort!AA39</f>
        <v>0</v>
      </c>
      <c r="P21" s="263"/>
    </row>
    <row r="22" spans="1:16" x14ac:dyDescent="0.25">
      <c r="A22" s="263"/>
      <c r="B22" s="263"/>
      <c r="C22" s="263" t="s">
        <v>145</v>
      </c>
      <c r="D22" s="263" t="s">
        <v>30</v>
      </c>
      <c r="E22" s="263" t="s">
        <v>43</v>
      </c>
      <c r="F22" s="263"/>
      <c r="G22" s="675">
        <f t="shared" ref="G22:O22" si="4">(G20*IT_Consultant_Daily_Rate)+G21</f>
        <v>0</v>
      </c>
      <c r="H22" s="675">
        <f t="shared" si="4"/>
        <v>15280</v>
      </c>
      <c r="I22" s="675">
        <f t="shared" si="4"/>
        <v>0</v>
      </c>
      <c r="J22" s="675">
        <f t="shared" si="4"/>
        <v>0</v>
      </c>
      <c r="K22" s="675">
        <f t="shared" si="4"/>
        <v>0</v>
      </c>
      <c r="L22" s="675">
        <f t="shared" si="4"/>
        <v>0</v>
      </c>
      <c r="M22" s="675">
        <f t="shared" si="4"/>
        <v>0</v>
      </c>
      <c r="N22" s="675">
        <f t="shared" si="4"/>
        <v>0</v>
      </c>
      <c r="O22" s="675">
        <f t="shared" si="4"/>
        <v>0</v>
      </c>
      <c r="P22" s="263"/>
    </row>
    <row r="23" spans="1:16" x14ac:dyDescent="0.25">
      <c r="A23" s="263"/>
      <c r="B23" s="263"/>
      <c r="C23" s="263"/>
      <c r="D23" s="263"/>
      <c r="E23" s="263"/>
      <c r="F23" s="263"/>
      <c r="G23" s="263"/>
      <c r="H23" s="263"/>
      <c r="I23" s="263"/>
      <c r="J23" s="263"/>
      <c r="K23" s="263"/>
      <c r="L23" s="263"/>
      <c r="M23" s="263"/>
      <c r="N23" s="263"/>
      <c r="O23" s="263"/>
      <c r="P23" s="263"/>
    </row>
    <row r="24" spans="1:16" x14ac:dyDescent="0.25">
      <c r="A24" s="263"/>
      <c r="B24" s="263"/>
      <c r="C24" s="263" t="s">
        <v>145</v>
      </c>
      <c r="D24" s="263" t="s">
        <v>49</v>
      </c>
      <c r="E24" s="263" t="s">
        <v>47</v>
      </c>
      <c r="F24" s="263" t="s">
        <v>120</v>
      </c>
      <c r="G24" s="37">
        <f>Inputs_Delivery_Effort!S40</f>
        <v>0.2</v>
      </c>
      <c r="H24" s="37">
        <f>Inputs_Delivery_Effort!T40</f>
        <v>0.2</v>
      </c>
      <c r="I24" s="37">
        <f>Inputs_Delivery_Effort!U40</f>
        <v>0.2</v>
      </c>
      <c r="J24" s="37">
        <f>Inputs_Delivery_Effort!V40</f>
        <v>0.2</v>
      </c>
      <c r="K24" s="37">
        <f>Inputs_Delivery_Effort!W40</f>
        <v>0.2</v>
      </c>
      <c r="L24" s="37">
        <f>Inputs_Delivery_Effort!X40</f>
        <v>0.2</v>
      </c>
      <c r="M24" s="37">
        <f>Inputs_Delivery_Effort!Y40</f>
        <v>0.2</v>
      </c>
      <c r="N24" s="37">
        <f>Inputs_Delivery_Effort!Z40</f>
        <v>0.2</v>
      </c>
      <c r="O24" s="37">
        <f>Inputs_Delivery_Effort!AA40</f>
        <v>0.2</v>
      </c>
      <c r="P24" s="263"/>
    </row>
    <row r="25" spans="1:16" x14ac:dyDescent="0.25">
      <c r="A25" s="263"/>
      <c r="B25" s="263"/>
      <c r="C25" s="263" t="s">
        <v>145</v>
      </c>
      <c r="D25" s="263" t="s">
        <v>30</v>
      </c>
      <c r="E25" s="263" t="s">
        <v>42</v>
      </c>
      <c r="F25" s="263"/>
      <c r="G25" s="675">
        <f t="shared" ref="G25:O25" si="5">(G20*IT_Consultant_Daily_Rate)*G24</f>
        <v>0</v>
      </c>
      <c r="H25" s="675">
        <f t="shared" si="5"/>
        <v>1056.0000000000002</v>
      </c>
      <c r="I25" s="675">
        <f t="shared" si="5"/>
        <v>0</v>
      </c>
      <c r="J25" s="675">
        <f t="shared" si="5"/>
        <v>0</v>
      </c>
      <c r="K25" s="675">
        <f t="shared" si="5"/>
        <v>0</v>
      </c>
      <c r="L25" s="675">
        <f t="shared" si="5"/>
        <v>0</v>
      </c>
      <c r="M25" s="675">
        <f t="shared" si="5"/>
        <v>0</v>
      </c>
      <c r="N25" s="675">
        <f t="shared" si="5"/>
        <v>0</v>
      </c>
      <c r="O25" s="675">
        <f t="shared" si="5"/>
        <v>0</v>
      </c>
      <c r="P25" s="263"/>
    </row>
    <row r="26" spans="1:16" x14ac:dyDescent="0.25">
      <c r="A26" s="263"/>
      <c r="B26" s="263"/>
      <c r="C26" s="263"/>
      <c r="D26" s="263"/>
      <c r="E26" s="263"/>
      <c r="F26" s="263"/>
      <c r="G26" s="263"/>
      <c r="H26" s="263"/>
      <c r="I26" s="263"/>
      <c r="J26" s="263"/>
      <c r="K26" s="263"/>
      <c r="L26" s="263"/>
      <c r="M26" s="263"/>
      <c r="N26" s="263"/>
      <c r="O26" s="263"/>
      <c r="P26" s="263"/>
    </row>
    <row r="27" spans="1:16" x14ac:dyDescent="0.25">
      <c r="A27" s="117"/>
      <c r="B27" s="124"/>
      <c r="C27" s="125" t="s">
        <v>121</v>
      </c>
      <c r="D27" s="125"/>
      <c r="E27" s="125"/>
      <c r="F27" s="126"/>
      <c r="G27" s="126"/>
      <c r="H27" s="126"/>
      <c r="I27" s="126"/>
      <c r="J27" s="126"/>
      <c r="K27" s="126"/>
      <c r="L27" s="126"/>
      <c r="M27" s="126"/>
      <c r="N27" s="126"/>
      <c r="O27" s="126"/>
      <c r="P27" s="263"/>
    </row>
    <row r="28" spans="1:16" x14ac:dyDescent="0.25">
      <c r="A28" s="117"/>
      <c r="B28" s="124"/>
      <c r="C28" s="124"/>
      <c r="D28" s="124"/>
      <c r="E28" s="124"/>
      <c r="F28" s="128"/>
      <c r="G28" s="128"/>
      <c r="H28" s="128"/>
      <c r="I28" s="128"/>
      <c r="J28" s="128"/>
      <c r="K28" s="128"/>
      <c r="L28" s="128"/>
      <c r="M28" s="128"/>
      <c r="N28" s="128"/>
      <c r="O28" s="128"/>
      <c r="P28" s="263"/>
    </row>
    <row r="29" spans="1:16" x14ac:dyDescent="0.25">
      <c r="A29" s="263"/>
      <c r="B29" s="263"/>
      <c r="C29" s="263" t="s">
        <v>121</v>
      </c>
      <c r="D29" s="263" t="s">
        <v>61</v>
      </c>
      <c r="E29" s="263" t="s">
        <v>50</v>
      </c>
      <c r="F29" s="263" t="s">
        <v>152</v>
      </c>
      <c r="G29" s="673">
        <f>Inputs_Delivery_Effort!S41</f>
        <v>85.8</v>
      </c>
      <c r="H29" s="673">
        <f>Inputs_Delivery_Effort!T41</f>
        <v>96.36</v>
      </c>
      <c r="I29" s="673">
        <f>Inputs_Delivery_Effort!U41</f>
        <v>85.8</v>
      </c>
      <c r="J29" s="673">
        <f>Inputs_Delivery_Effort!V41</f>
        <v>85.8</v>
      </c>
      <c r="K29" s="673">
        <f>Inputs_Delivery_Effort!W41</f>
        <v>0</v>
      </c>
      <c r="L29" s="673">
        <f>Inputs_Delivery_Effort!X41</f>
        <v>0</v>
      </c>
      <c r="M29" s="673">
        <f>Inputs_Delivery_Effort!Y41</f>
        <v>42.9</v>
      </c>
      <c r="N29" s="673">
        <f>Inputs_Delivery_Effort!Z41</f>
        <v>0</v>
      </c>
      <c r="O29" s="673">
        <f>Inputs_Delivery_Effort!AA41</f>
        <v>42.9</v>
      </c>
      <c r="P29" s="263"/>
    </row>
    <row r="30" spans="1:16" x14ac:dyDescent="0.25">
      <c r="A30" s="263"/>
      <c r="B30" s="263"/>
      <c r="C30" s="263" t="s">
        <v>121</v>
      </c>
      <c r="D30" s="263" t="s">
        <v>30</v>
      </c>
      <c r="E30" s="263" t="s">
        <v>50</v>
      </c>
      <c r="F30" s="263" t="s">
        <v>119</v>
      </c>
      <c r="G30" s="677">
        <f>Inputs_Delivery_Effort!S42</f>
        <v>0</v>
      </c>
      <c r="H30" s="677">
        <f>Inputs_Delivery_Effort!T42</f>
        <v>10000</v>
      </c>
      <c r="I30" s="677">
        <f>Inputs_Delivery_Effort!U42</f>
        <v>0</v>
      </c>
      <c r="J30" s="677">
        <f>Inputs_Delivery_Effort!V42</f>
        <v>0</v>
      </c>
      <c r="K30" s="677">
        <f>Inputs_Delivery_Effort!W42</f>
        <v>0</v>
      </c>
      <c r="L30" s="677">
        <f>Inputs_Delivery_Effort!X42</f>
        <v>0</v>
      </c>
      <c r="M30" s="677">
        <f>Inputs_Delivery_Effort!Y42</f>
        <v>0</v>
      </c>
      <c r="N30" s="677">
        <f>Inputs_Delivery_Effort!Z42</f>
        <v>0</v>
      </c>
      <c r="O30" s="677">
        <f>Inputs_Delivery_Effort!AA42</f>
        <v>0</v>
      </c>
      <c r="P30" s="263"/>
    </row>
    <row r="31" spans="1:16" x14ac:dyDescent="0.25">
      <c r="A31" s="263"/>
      <c r="B31" s="263"/>
      <c r="C31" s="263" t="s">
        <v>121</v>
      </c>
      <c r="D31" s="263" t="s">
        <v>30</v>
      </c>
      <c r="E31" s="263" t="s">
        <v>43</v>
      </c>
      <c r="F31" s="263"/>
      <c r="G31" s="675">
        <f t="shared" ref="G31:O31" si="6">(G29*IT_Consultant_Daily_Rate)+G30</f>
        <v>42900</v>
      </c>
      <c r="H31" s="675">
        <f t="shared" si="6"/>
        <v>58180</v>
      </c>
      <c r="I31" s="675">
        <f t="shared" si="6"/>
        <v>42900</v>
      </c>
      <c r="J31" s="675">
        <f t="shared" si="6"/>
        <v>42900</v>
      </c>
      <c r="K31" s="675">
        <f t="shared" si="6"/>
        <v>0</v>
      </c>
      <c r="L31" s="675">
        <f t="shared" si="6"/>
        <v>0</v>
      </c>
      <c r="M31" s="675">
        <f t="shared" si="6"/>
        <v>21450</v>
      </c>
      <c r="N31" s="675">
        <f t="shared" si="6"/>
        <v>0</v>
      </c>
      <c r="O31" s="675">
        <f t="shared" si="6"/>
        <v>21450</v>
      </c>
      <c r="P31" s="263"/>
    </row>
    <row r="32" spans="1:16" x14ac:dyDescent="0.25">
      <c r="A32" s="263"/>
      <c r="B32" s="263"/>
      <c r="C32" s="263"/>
      <c r="D32" s="263"/>
      <c r="E32" s="263"/>
      <c r="F32" s="263"/>
      <c r="G32" s="263"/>
      <c r="H32" s="263"/>
      <c r="I32" s="263"/>
      <c r="J32" s="263"/>
      <c r="K32" s="263"/>
      <c r="L32" s="263"/>
      <c r="M32" s="263"/>
      <c r="N32" s="263"/>
      <c r="O32" s="263"/>
      <c r="P32" s="263"/>
    </row>
    <row r="33" spans="1:16" x14ac:dyDescent="0.25">
      <c r="A33" s="263"/>
      <c r="B33" s="263"/>
      <c r="C33" s="263" t="s">
        <v>121</v>
      </c>
      <c r="D33" s="263" t="s">
        <v>49</v>
      </c>
      <c r="E33" s="263" t="s">
        <v>47</v>
      </c>
      <c r="F33" s="263" t="s">
        <v>120</v>
      </c>
      <c r="G33" s="37">
        <f>Inputs_Delivery_Effort!S43</f>
        <v>0.2</v>
      </c>
      <c r="H33" s="37">
        <f>Inputs_Delivery_Effort!T43</f>
        <v>0.2</v>
      </c>
      <c r="I33" s="37">
        <f>Inputs_Delivery_Effort!U43</f>
        <v>0.2</v>
      </c>
      <c r="J33" s="37">
        <f>Inputs_Delivery_Effort!V43</f>
        <v>0.2</v>
      </c>
      <c r="K33" s="37">
        <f>Inputs_Delivery_Effort!W43</f>
        <v>0.2</v>
      </c>
      <c r="L33" s="37">
        <f>Inputs_Delivery_Effort!X43</f>
        <v>0.2</v>
      </c>
      <c r="M33" s="37">
        <f>Inputs_Delivery_Effort!Y43</f>
        <v>0.2</v>
      </c>
      <c r="N33" s="37">
        <f>Inputs_Delivery_Effort!Z43</f>
        <v>0.2</v>
      </c>
      <c r="O33" s="37">
        <f>Inputs_Delivery_Effort!AA43</f>
        <v>0.2</v>
      </c>
      <c r="P33" s="263"/>
    </row>
    <row r="34" spans="1:16" x14ac:dyDescent="0.25">
      <c r="A34" s="263"/>
      <c r="B34" s="263"/>
      <c r="C34" s="263" t="s">
        <v>121</v>
      </c>
      <c r="D34" s="263" t="s">
        <v>30</v>
      </c>
      <c r="E34" s="263" t="s">
        <v>42</v>
      </c>
      <c r="F34" s="263"/>
      <c r="G34" s="675">
        <f t="shared" ref="G34:O34" si="7">(G29*IT_Consultant_Daily_Rate)*G33</f>
        <v>8580</v>
      </c>
      <c r="H34" s="675">
        <f t="shared" si="7"/>
        <v>9636</v>
      </c>
      <c r="I34" s="675">
        <f t="shared" si="7"/>
        <v>8580</v>
      </c>
      <c r="J34" s="675">
        <f t="shared" si="7"/>
        <v>8580</v>
      </c>
      <c r="K34" s="675">
        <f t="shared" si="7"/>
        <v>0</v>
      </c>
      <c r="L34" s="675">
        <f t="shared" si="7"/>
        <v>0</v>
      </c>
      <c r="M34" s="675">
        <f t="shared" si="7"/>
        <v>4290</v>
      </c>
      <c r="N34" s="675">
        <f t="shared" si="7"/>
        <v>0</v>
      </c>
      <c r="O34" s="675">
        <f t="shared" si="7"/>
        <v>4290</v>
      </c>
      <c r="P34" s="263"/>
    </row>
    <row r="35" spans="1:16" x14ac:dyDescent="0.25">
      <c r="A35" s="263"/>
      <c r="B35" s="263"/>
      <c r="C35" s="263"/>
      <c r="D35" s="263"/>
      <c r="E35" s="263"/>
      <c r="F35" s="263"/>
      <c r="G35" s="263"/>
      <c r="H35" s="263"/>
      <c r="I35" s="263"/>
      <c r="J35" s="263"/>
      <c r="K35" s="263"/>
      <c r="L35" s="263"/>
      <c r="M35" s="263"/>
      <c r="N35" s="263"/>
      <c r="O35" s="263"/>
      <c r="P35" s="263"/>
    </row>
    <row r="36" spans="1:16" x14ac:dyDescent="0.25">
      <c r="A36" s="117"/>
      <c r="B36" s="124"/>
      <c r="C36" s="125" t="s">
        <v>146</v>
      </c>
      <c r="D36" s="125"/>
      <c r="E36" s="125"/>
      <c r="F36" s="126"/>
      <c r="G36" s="126"/>
      <c r="H36" s="126"/>
      <c r="I36" s="126"/>
      <c r="J36" s="126"/>
      <c r="K36" s="126"/>
      <c r="L36" s="126"/>
      <c r="M36" s="126"/>
      <c r="N36" s="126"/>
      <c r="O36" s="126"/>
      <c r="P36" s="263"/>
    </row>
    <row r="37" spans="1:16" x14ac:dyDescent="0.25">
      <c r="A37" s="117"/>
      <c r="B37" s="124"/>
      <c r="C37" s="124"/>
      <c r="D37" s="124"/>
      <c r="E37" s="124"/>
      <c r="F37" s="128"/>
      <c r="G37" s="128"/>
      <c r="H37" s="128"/>
      <c r="I37" s="128"/>
      <c r="J37" s="128"/>
      <c r="K37" s="128"/>
      <c r="L37" s="128"/>
      <c r="M37" s="128"/>
      <c r="N37" s="128"/>
      <c r="O37" s="128"/>
      <c r="P37" s="263"/>
    </row>
    <row r="38" spans="1:16" x14ac:dyDescent="0.25">
      <c r="A38" s="263"/>
      <c r="B38" s="263"/>
      <c r="C38" s="263" t="s">
        <v>146</v>
      </c>
      <c r="D38" s="263" t="s">
        <v>61</v>
      </c>
      <c r="E38" s="263" t="s">
        <v>50</v>
      </c>
      <c r="F38" s="263" t="s">
        <v>152</v>
      </c>
      <c r="G38" s="673">
        <f>Inputs_Delivery_Effort!S44</f>
        <v>19.8</v>
      </c>
      <c r="H38" s="673">
        <f>Inputs_Delivery_Effort!T44</f>
        <v>30.360000000000003</v>
      </c>
      <c r="I38" s="673">
        <f>Inputs_Delivery_Effort!U44</f>
        <v>19.8</v>
      </c>
      <c r="J38" s="673">
        <f>Inputs_Delivery_Effort!V44</f>
        <v>19.8</v>
      </c>
      <c r="K38" s="673">
        <f>Inputs_Delivery_Effort!W44</f>
        <v>0</v>
      </c>
      <c r="L38" s="673">
        <f>Inputs_Delivery_Effort!X44</f>
        <v>0</v>
      </c>
      <c r="M38" s="673">
        <f>Inputs_Delivery_Effort!Y44</f>
        <v>9.9</v>
      </c>
      <c r="N38" s="673">
        <f>Inputs_Delivery_Effort!Z44</f>
        <v>0</v>
      </c>
      <c r="O38" s="673">
        <f>Inputs_Delivery_Effort!AA44</f>
        <v>9.9</v>
      </c>
      <c r="P38" s="263"/>
    </row>
    <row r="39" spans="1:16" x14ac:dyDescent="0.25">
      <c r="A39" s="263"/>
      <c r="B39" s="263"/>
      <c r="C39" s="263" t="s">
        <v>146</v>
      </c>
      <c r="D39" s="263" t="s">
        <v>30</v>
      </c>
      <c r="E39" s="263" t="s">
        <v>50</v>
      </c>
      <c r="F39" s="263" t="s">
        <v>119</v>
      </c>
      <c r="G39" s="677">
        <f>Inputs_Delivery_Effort!S45</f>
        <v>0</v>
      </c>
      <c r="H39" s="677">
        <f>Inputs_Delivery_Effort!T45</f>
        <v>10000</v>
      </c>
      <c r="I39" s="677">
        <f>Inputs_Delivery_Effort!U45</f>
        <v>0</v>
      </c>
      <c r="J39" s="677">
        <f>Inputs_Delivery_Effort!V45</f>
        <v>0</v>
      </c>
      <c r="K39" s="677">
        <f>Inputs_Delivery_Effort!W45</f>
        <v>0</v>
      </c>
      <c r="L39" s="677">
        <f>Inputs_Delivery_Effort!X45</f>
        <v>0</v>
      </c>
      <c r="M39" s="677">
        <f>Inputs_Delivery_Effort!Y45</f>
        <v>0</v>
      </c>
      <c r="N39" s="677">
        <f>Inputs_Delivery_Effort!Z45</f>
        <v>0</v>
      </c>
      <c r="O39" s="677">
        <f>Inputs_Delivery_Effort!AA45</f>
        <v>0</v>
      </c>
      <c r="P39" s="263"/>
    </row>
    <row r="40" spans="1:16" x14ac:dyDescent="0.25">
      <c r="A40" s="263"/>
      <c r="B40" s="263"/>
      <c r="C40" s="263" t="s">
        <v>146</v>
      </c>
      <c r="D40" s="263" t="s">
        <v>30</v>
      </c>
      <c r="E40" s="263" t="s">
        <v>43</v>
      </c>
      <c r="F40" s="263"/>
      <c r="G40" s="675">
        <f t="shared" ref="G40:O40" si="8">(G38*IT_Consultant_Daily_Rate)+G39</f>
        <v>9900</v>
      </c>
      <c r="H40" s="675">
        <f t="shared" si="8"/>
        <v>25180</v>
      </c>
      <c r="I40" s="675">
        <f t="shared" si="8"/>
        <v>9900</v>
      </c>
      <c r="J40" s="675">
        <f t="shared" si="8"/>
        <v>9900</v>
      </c>
      <c r="K40" s="675">
        <f t="shared" si="8"/>
        <v>0</v>
      </c>
      <c r="L40" s="675">
        <f t="shared" si="8"/>
        <v>0</v>
      </c>
      <c r="M40" s="675">
        <f t="shared" si="8"/>
        <v>4950</v>
      </c>
      <c r="N40" s="675">
        <f t="shared" si="8"/>
        <v>0</v>
      </c>
      <c r="O40" s="675">
        <f t="shared" si="8"/>
        <v>4950</v>
      </c>
      <c r="P40" s="263"/>
    </row>
    <row r="41" spans="1:16" x14ac:dyDescent="0.25">
      <c r="A41" s="263"/>
      <c r="B41" s="263"/>
      <c r="C41" s="263"/>
      <c r="D41" s="263"/>
      <c r="E41" s="263"/>
      <c r="F41" s="263"/>
      <c r="G41" s="263"/>
      <c r="H41" s="263"/>
      <c r="I41" s="263"/>
      <c r="J41" s="263"/>
      <c r="K41" s="263"/>
      <c r="L41" s="263"/>
      <c r="M41" s="263"/>
      <c r="N41" s="263"/>
      <c r="O41" s="263"/>
      <c r="P41" s="263"/>
    </row>
    <row r="42" spans="1:16" x14ac:dyDescent="0.25">
      <c r="A42" s="263"/>
      <c r="B42" s="263"/>
      <c r="C42" s="263" t="s">
        <v>146</v>
      </c>
      <c r="D42" s="263" t="s">
        <v>49</v>
      </c>
      <c r="E42" s="263" t="s">
        <v>47</v>
      </c>
      <c r="F42" s="263" t="s">
        <v>120</v>
      </c>
      <c r="G42" s="37">
        <f>Inputs_Delivery_Effort!S46</f>
        <v>0.2</v>
      </c>
      <c r="H42" s="37">
        <f>Inputs_Delivery_Effort!T46</f>
        <v>0.2</v>
      </c>
      <c r="I42" s="37">
        <f>Inputs_Delivery_Effort!U46</f>
        <v>0.2</v>
      </c>
      <c r="J42" s="37">
        <f>Inputs_Delivery_Effort!V46</f>
        <v>0.2</v>
      </c>
      <c r="K42" s="37">
        <f>Inputs_Delivery_Effort!W46</f>
        <v>0.2</v>
      </c>
      <c r="L42" s="37">
        <f>Inputs_Delivery_Effort!X46</f>
        <v>0.2</v>
      </c>
      <c r="M42" s="37">
        <f>Inputs_Delivery_Effort!Y46</f>
        <v>0.2</v>
      </c>
      <c r="N42" s="37">
        <f>Inputs_Delivery_Effort!Z46</f>
        <v>0.2</v>
      </c>
      <c r="O42" s="37">
        <f>Inputs_Delivery_Effort!AA46</f>
        <v>0.2</v>
      </c>
      <c r="P42" s="263"/>
    </row>
    <row r="43" spans="1:16" x14ac:dyDescent="0.25">
      <c r="A43" s="263"/>
      <c r="B43" s="263"/>
      <c r="C43" s="263" t="s">
        <v>146</v>
      </c>
      <c r="D43" s="263" t="s">
        <v>30</v>
      </c>
      <c r="E43" s="263" t="s">
        <v>42</v>
      </c>
      <c r="F43" s="263"/>
      <c r="G43" s="675">
        <f t="shared" ref="G43:O43" si="9">(G38*IT_Consultant_Daily_Rate)*G42</f>
        <v>1980</v>
      </c>
      <c r="H43" s="675">
        <f t="shared" si="9"/>
        <v>3036.0000000000005</v>
      </c>
      <c r="I43" s="675">
        <f t="shared" si="9"/>
        <v>1980</v>
      </c>
      <c r="J43" s="675">
        <f t="shared" si="9"/>
        <v>1980</v>
      </c>
      <c r="K43" s="675">
        <f t="shared" si="9"/>
        <v>0</v>
      </c>
      <c r="L43" s="675">
        <f t="shared" si="9"/>
        <v>0</v>
      </c>
      <c r="M43" s="675">
        <f t="shared" si="9"/>
        <v>990</v>
      </c>
      <c r="N43" s="675">
        <f t="shared" si="9"/>
        <v>0</v>
      </c>
      <c r="O43" s="675">
        <f t="shared" si="9"/>
        <v>990</v>
      </c>
      <c r="P43" s="263"/>
    </row>
    <row r="44" spans="1:16" x14ac:dyDescent="0.25">
      <c r="A44" s="263"/>
      <c r="B44" s="263"/>
      <c r="C44" s="263"/>
      <c r="D44" s="263"/>
      <c r="E44" s="263"/>
      <c r="F44" s="263"/>
      <c r="G44" s="263"/>
      <c r="H44" s="263"/>
      <c r="I44" s="263"/>
      <c r="J44" s="263"/>
      <c r="K44" s="263"/>
      <c r="L44" s="263"/>
      <c r="M44" s="263"/>
      <c r="N44" s="263"/>
      <c r="O44" s="263"/>
      <c r="P44" s="263"/>
    </row>
    <row r="45" spans="1:16" x14ac:dyDescent="0.25">
      <c r="A45" s="117"/>
      <c r="B45" s="124"/>
      <c r="C45" s="125" t="s">
        <v>141</v>
      </c>
      <c r="D45" s="125"/>
      <c r="E45" s="125"/>
      <c r="F45" s="126"/>
      <c r="G45" s="126"/>
      <c r="H45" s="126"/>
      <c r="I45" s="126"/>
      <c r="J45" s="126"/>
      <c r="K45" s="126"/>
      <c r="L45" s="126"/>
      <c r="M45" s="126"/>
      <c r="N45" s="126"/>
      <c r="O45" s="126"/>
      <c r="P45" s="263"/>
    </row>
    <row r="46" spans="1:16" x14ac:dyDescent="0.25">
      <c r="A46" s="117"/>
      <c r="B46" s="124"/>
      <c r="C46" s="124"/>
      <c r="D46" s="124"/>
      <c r="E46" s="124"/>
      <c r="F46" s="128"/>
      <c r="G46" s="128"/>
      <c r="H46" s="128"/>
      <c r="I46" s="128"/>
      <c r="J46" s="128"/>
      <c r="K46" s="128"/>
      <c r="L46" s="128"/>
      <c r="M46" s="128"/>
      <c r="N46" s="128"/>
      <c r="O46" s="128"/>
      <c r="P46" s="263"/>
    </row>
    <row r="47" spans="1:16" x14ac:dyDescent="0.25">
      <c r="A47" s="263"/>
      <c r="B47" s="263"/>
      <c r="C47" s="263" t="s">
        <v>141</v>
      </c>
      <c r="D47" s="263" t="s">
        <v>61</v>
      </c>
      <c r="E47" s="263" t="s">
        <v>50</v>
      </c>
      <c r="F47" s="263" t="s">
        <v>152</v>
      </c>
      <c r="G47" s="673">
        <f>Inputs_Delivery_Effort!S47</f>
        <v>85.8</v>
      </c>
      <c r="H47" s="673">
        <f>Inputs_Delivery_Effort!T47</f>
        <v>96.36</v>
      </c>
      <c r="I47" s="673">
        <f>Inputs_Delivery_Effort!U47</f>
        <v>85.8</v>
      </c>
      <c r="J47" s="673">
        <f>Inputs_Delivery_Effort!V47</f>
        <v>85.8</v>
      </c>
      <c r="K47" s="673">
        <f>Inputs_Delivery_Effort!W47</f>
        <v>0</v>
      </c>
      <c r="L47" s="673">
        <f>Inputs_Delivery_Effort!X47</f>
        <v>0</v>
      </c>
      <c r="M47" s="673">
        <f>Inputs_Delivery_Effort!Y47</f>
        <v>42.9</v>
      </c>
      <c r="N47" s="673">
        <f>Inputs_Delivery_Effort!Z47</f>
        <v>0</v>
      </c>
      <c r="O47" s="673">
        <f>Inputs_Delivery_Effort!AA47</f>
        <v>42.9</v>
      </c>
      <c r="P47" s="263"/>
    </row>
    <row r="48" spans="1:16" x14ac:dyDescent="0.25">
      <c r="A48" s="263"/>
      <c r="B48" s="263"/>
      <c r="C48" s="263" t="s">
        <v>141</v>
      </c>
      <c r="D48" s="263" t="s">
        <v>30</v>
      </c>
      <c r="E48" s="263" t="s">
        <v>50</v>
      </c>
      <c r="F48" s="263" t="s">
        <v>119</v>
      </c>
      <c r="G48" s="677">
        <f>Inputs_Delivery_Effort!S48</f>
        <v>0</v>
      </c>
      <c r="H48" s="677">
        <f>Inputs_Delivery_Effort!T48</f>
        <v>10000</v>
      </c>
      <c r="I48" s="677">
        <f>Inputs_Delivery_Effort!U48</f>
        <v>0</v>
      </c>
      <c r="J48" s="677">
        <f>Inputs_Delivery_Effort!V48</f>
        <v>0</v>
      </c>
      <c r="K48" s="677">
        <f>Inputs_Delivery_Effort!W48</f>
        <v>0</v>
      </c>
      <c r="L48" s="677">
        <f>Inputs_Delivery_Effort!X48</f>
        <v>0</v>
      </c>
      <c r="M48" s="677">
        <f>Inputs_Delivery_Effort!Y48</f>
        <v>0</v>
      </c>
      <c r="N48" s="677">
        <f>Inputs_Delivery_Effort!Z48</f>
        <v>0</v>
      </c>
      <c r="O48" s="677">
        <f>Inputs_Delivery_Effort!AA48</f>
        <v>0</v>
      </c>
      <c r="P48" s="263"/>
    </row>
    <row r="49" spans="1:16" x14ac:dyDescent="0.25">
      <c r="A49" s="263"/>
      <c r="B49" s="263"/>
      <c r="C49" s="263" t="s">
        <v>141</v>
      </c>
      <c r="D49" s="263" t="s">
        <v>30</v>
      </c>
      <c r="E49" s="263" t="s">
        <v>43</v>
      </c>
      <c r="F49" s="263"/>
      <c r="G49" s="675">
        <f t="shared" ref="G49:O49" si="10">(G47*IT_Consultant_Daily_Rate)+G48</f>
        <v>42900</v>
      </c>
      <c r="H49" s="675">
        <f t="shared" si="10"/>
        <v>58180</v>
      </c>
      <c r="I49" s="675">
        <f t="shared" si="10"/>
        <v>42900</v>
      </c>
      <c r="J49" s="675">
        <f t="shared" si="10"/>
        <v>42900</v>
      </c>
      <c r="K49" s="675">
        <f t="shared" si="10"/>
        <v>0</v>
      </c>
      <c r="L49" s="675">
        <f t="shared" si="10"/>
        <v>0</v>
      </c>
      <c r="M49" s="675">
        <f t="shared" si="10"/>
        <v>21450</v>
      </c>
      <c r="N49" s="675">
        <f t="shared" si="10"/>
        <v>0</v>
      </c>
      <c r="O49" s="675">
        <f t="shared" si="10"/>
        <v>21450</v>
      </c>
      <c r="P49" s="263"/>
    </row>
    <row r="50" spans="1:16" x14ac:dyDescent="0.25">
      <c r="A50" s="263"/>
      <c r="B50" s="263"/>
      <c r="C50" s="263"/>
      <c r="D50" s="263"/>
      <c r="E50" s="263"/>
      <c r="F50" s="263"/>
      <c r="G50" s="263"/>
      <c r="H50" s="263"/>
      <c r="I50" s="263"/>
      <c r="J50" s="263"/>
      <c r="K50" s="263"/>
      <c r="L50" s="263"/>
      <c r="M50" s="263"/>
      <c r="N50" s="263"/>
      <c r="O50" s="263"/>
      <c r="P50" s="263"/>
    </row>
    <row r="51" spans="1:16" x14ac:dyDescent="0.25">
      <c r="A51" s="263"/>
      <c r="B51" s="263"/>
      <c r="C51" s="263" t="s">
        <v>141</v>
      </c>
      <c r="D51" s="263" t="s">
        <v>49</v>
      </c>
      <c r="E51" s="263" t="s">
        <v>47</v>
      </c>
      <c r="F51" s="263" t="s">
        <v>120</v>
      </c>
      <c r="G51" s="37">
        <f>Inputs_Delivery_Effort!S49</f>
        <v>0.2</v>
      </c>
      <c r="H51" s="37">
        <f>Inputs_Delivery_Effort!T49</f>
        <v>0.2</v>
      </c>
      <c r="I51" s="37">
        <f>Inputs_Delivery_Effort!U49</f>
        <v>0.2</v>
      </c>
      <c r="J51" s="37">
        <f>Inputs_Delivery_Effort!V49</f>
        <v>0.2</v>
      </c>
      <c r="K51" s="37">
        <f>Inputs_Delivery_Effort!W49</f>
        <v>0.2</v>
      </c>
      <c r="L51" s="37">
        <f>Inputs_Delivery_Effort!X49</f>
        <v>0.2</v>
      </c>
      <c r="M51" s="37">
        <f>Inputs_Delivery_Effort!Y49</f>
        <v>0.2</v>
      </c>
      <c r="N51" s="37">
        <f>Inputs_Delivery_Effort!Z49</f>
        <v>0.2</v>
      </c>
      <c r="O51" s="37">
        <f>Inputs_Delivery_Effort!AA49</f>
        <v>0.2</v>
      </c>
      <c r="P51" s="263"/>
    </row>
    <row r="52" spans="1:16" x14ac:dyDescent="0.25">
      <c r="A52" s="263"/>
      <c r="B52" s="263"/>
      <c r="C52" s="263" t="s">
        <v>141</v>
      </c>
      <c r="D52" s="263" t="s">
        <v>30</v>
      </c>
      <c r="E52" s="263" t="s">
        <v>42</v>
      </c>
      <c r="F52" s="263"/>
      <c r="G52" s="675">
        <f t="shared" ref="G52:O52" si="11">(G47*IT_Consultant_Daily_Rate)*G51</f>
        <v>8580</v>
      </c>
      <c r="H52" s="675">
        <f t="shared" si="11"/>
        <v>9636</v>
      </c>
      <c r="I52" s="675">
        <f t="shared" si="11"/>
        <v>8580</v>
      </c>
      <c r="J52" s="675">
        <f t="shared" si="11"/>
        <v>8580</v>
      </c>
      <c r="K52" s="675">
        <f t="shared" si="11"/>
        <v>0</v>
      </c>
      <c r="L52" s="675">
        <f t="shared" si="11"/>
        <v>0</v>
      </c>
      <c r="M52" s="675">
        <f t="shared" si="11"/>
        <v>4290</v>
      </c>
      <c r="N52" s="675">
        <f t="shared" si="11"/>
        <v>0</v>
      </c>
      <c r="O52" s="675">
        <f t="shared" si="11"/>
        <v>4290</v>
      </c>
      <c r="P52" s="263"/>
    </row>
    <row r="53" spans="1:16" x14ac:dyDescent="0.25">
      <c r="A53" s="263"/>
      <c r="B53" s="263"/>
      <c r="C53" s="263"/>
      <c r="D53" s="263"/>
      <c r="E53" s="263"/>
      <c r="F53" s="263"/>
      <c r="G53" s="263"/>
      <c r="H53" s="263"/>
      <c r="I53" s="263"/>
      <c r="J53" s="263"/>
      <c r="K53" s="263"/>
      <c r="L53" s="263"/>
      <c r="M53" s="263"/>
      <c r="N53" s="263"/>
      <c r="O53" s="263"/>
      <c r="P53" s="263"/>
    </row>
    <row r="54" spans="1:16" x14ac:dyDescent="0.25">
      <c r="A54" s="117"/>
      <c r="B54" s="124"/>
      <c r="C54" s="125" t="s">
        <v>142</v>
      </c>
      <c r="D54" s="125"/>
      <c r="E54" s="125"/>
      <c r="F54" s="126"/>
      <c r="G54" s="126"/>
      <c r="H54" s="126"/>
      <c r="I54" s="126"/>
      <c r="J54" s="126"/>
      <c r="K54" s="126"/>
      <c r="L54" s="126"/>
      <c r="M54" s="126"/>
      <c r="N54" s="126"/>
      <c r="O54" s="126"/>
      <c r="P54" s="263"/>
    </row>
    <row r="55" spans="1:16" x14ac:dyDescent="0.25">
      <c r="A55" s="117"/>
      <c r="B55" s="124"/>
      <c r="C55" s="124"/>
      <c r="D55" s="124"/>
      <c r="E55" s="124"/>
      <c r="F55" s="128"/>
      <c r="G55" s="128"/>
      <c r="H55" s="128"/>
      <c r="I55" s="128"/>
      <c r="J55" s="128"/>
      <c r="K55" s="128"/>
      <c r="L55" s="128"/>
      <c r="M55" s="128"/>
      <c r="N55" s="128"/>
      <c r="O55" s="128"/>
      <c r="P55" s="263"/>
    </row>
    <row r="56" spans="1:16" x14ac:dyDescent="0.25">
      <c r="A56" s="263"/>
      <c r="B56" s="263"/>
      <c r="C56" s="263" t="s">
        <v>142</v>
      </c>
      <c r="D56" s="263" t="s">
        <v>61</v>
      </c>
      <c r="E56" s="263" t="s">
        <v>50</v>
      </c>
      <c r="F56" s="263" t="s">
        <v>152</v>
      </c>
      <c r="G56" s="673">
        <f>Inputs_Delivery_Effort!S50</f>
        <v>112.20000000000002</v>
      </c>
      <c r="H56" s="673">
        <f>Inputs_Delivery_Effort!T50</f>
        <v>151.80000000000001</v>
      </c>
      <c r="I56" s="673">
        <f>Inputs_Delivery_Effort!U50</f>
        <v>112.20000000000002</v>
      </c>
      <c r="J56" s="673">
        <f>Inputs_Delivery_Effort!V50</f>
        <v>112.20000000000002</v>
      </c>
      <c r="K56" s="673">
        <f>Inputs_Delivery_Effort!W50</f>
        <v>0</v>
      </c>
      <c r="L56" s="673">
        <f>Inputs_Delivery_Effort!X50</f>
        <v>99.000000000000014</v>
      </c>
      <c r="M56" s="673">
        <f>Inputs_Delivery_Effort!Y50</f>
        <v>29.700000000000003</v>
      </c>
      <c r="N56" s="673">
        <f>Inputs_Delivery_Effort!Z50</f>
        <v>0</v>
      </c>
      <c r="O56" s="673">
        <f>Inputs_Delivery_Effort!AA50</f>
        <v>29.700000000000003</v>
      </c>
      <c r="P56" s="263"/>
    </row>
    <row r="57" spans="1:16" x14ac:dyDescent="0.25">
      <c r="A57" s="263"/>
      <c r="B57" s="263"/>
      <c r="C57" s="263" t="s">
        <v>142</v>
      </c>
      <c r="D57" s="263" t="s">
        <v>30</v>
      </c>
      <c r="E57" s="263" t="s">
        <v>50</v>
      </c>
      <c r="F57" s="263" t="s">
        <v>119</v>
      </c>
      <c r="G57" s="677">
        <f>Inputs_Delivery_Effort!S51</f>
        <v>0</v>
      </c>
      <c r="H57" s="677">
        <f>Inputs_Delivery_Effort!T51</f>
        <v>0</v>
      </c>
      <c r="I57" s="677">
        <f>Inputs_Delivery_Effort!U51</f>
        <v>0</v>
      </c>
      <c r="J57" s="677">
        <f>Inputs_Delivery_Effort!V51</f>
        <v>0</v>
      </c>
      <c r="K57" s="677">
        <f>Inputs_Delivery_Effort!W51</f>
        <v>0</v>
      </c>
      <c r="L57" s="677">
        <f>Inputs_Delivery_Effort!X51</f>
        <v>0</v>
      </c>
      <c r="M57" s="677">
        <f>Inputs_Delivery_Effort!Y51</f>
        <v>0</v>
      </c>
      <c r="N57" s="677">
        <f>Inputs_Delivery_Effort!Z51</f>
        <v>0</v>
      </c>
      <c r="O57" s="677">
        <f>Inputs_Delivery_Effort!AA51</f>
        <v>0</v>
      </c>
      <c r="P57" s="263"/>
    </row>
    <row r="58" spans="1:16" x14ac:dyDescent="0.25">
      <c r="A58" s="263"/>
      <c r="B58" s="263"/>
      <c r="C58" s="263" t="s">
        <v>142</v>
      </c>
      <c r="D58" s="263" t="s">
        <v>30</v>
      </c>
      <c r="E58" s="263" t="s">
        <v>43</v>
      </c>
      <c r="F58" s="263"/>
      <c r="G58" s="675">
        <f t="shared" ref="G58:O58" si="12">(G56*IT_Consultant_Daily_Rate)+G57</f>
        <v>56100.000000000007</v>
      </c>
      <c r="H58" s="675">
        <f t="shared" si="12"/>
        <v>75900</v>
      </c>
      <c r="I58" s="675">
        <f t="shared" si="12"/>
        <v>56100.000000000007</v>
      </c>
      <c r="J58" s="675">
        <f t="shared" si="12"/>
        <v>56100.000000000007</v>
      </c>
      <c r="K58" s="675">
        <f t="shared" si="12"/>
        <v>0</v>
      </c>
      <c r="L58" s="675">
        <f t="shared" si="12"/>
        <v>49500.000000000007</v>
      </c>
      <c r="M58" s="675">
        <f t="shared" si="12"/>
        <v>14850.000000000002</v>
      </c>
      <c r="N58" s="675">
        <f t="shared" si="12"/>
        <v>0</v>
      </c>
      <c r="O58" s="675">
        <f t="shared" si="12"/>
        <v>14850.000000000002</v>
      </c>
      <c r="P58" s="263"/>
    </row>
    <row r="59" spans="1:16" x14ac:dyDescent="0.25">
      <c r="A59" s="263"/>
      <c r="B59" s="263"/>
      <c r="C59" s="263"/>
      <c r="D59" s="263"/>
      <c r="E59" s="263"/>
      <c r="F59" s="263"/>
      <c r="G59" s="263"/>
      <c r="H59" s="263"/>
      <c r="I59" s="263"/>
      <c r="J59" s="263"/>
      <c r="K59" s="263"/>
      <c r="L59" s="263"/>
      <c r="M59" s="263"/>
      <c r="N59" s="263"/>
      <c r="O59" s="263"/>
      <c r="P59" s="263"/>
    </row>
    <row r="60" spans="1:16" x14ac:dyDescent="0.25">
      <c r="A60" s="263"/>
      <c r="B60" s="263"/>
      <c r="C60" s="263" t="s">
        <v>142</v>
      </c>
      <c r="D60" s="263" t="s">
        <v>49</v>
      </c>
      <c r="E60" s="263" t="s">
        <v>47</v>
      </c>
      <c r="F60" s="263" t="s">
        <v>120</v>
      </c>
      <c r="G60" s="37">
        <f>Inputs_Delivery_Effort!S52</f>
        <v>0.2</v>
      </c>
      <c r="H60" s="37">
        <f>Inputs_Delivery_Effort!T52</f>
        <v>0.2</v>
      </c>
      <c r="I60" s="37">
        <f>Inputs_Delivery_Effort!U52</f>
        <v>0.2</v>
      </c>
      <c r="J60" s="37">
        <f>Inputs_Delivery_Effort!V52</f>
        <v>0.2</v>
      </c>
      <c r="K60" s="37">
        <f>Inputs_Delivery_Effort!W52</f>
        <v>0.2</v>
      </c>
      <c r="L60" s="37">
        <f>Inputs_Delivery_Effort!X52</f>
        <v>0.2</v>
      </c>
      <c r="M60" s="37">
        <f>Inputs_Delivery_Effort!Y52</f>
        <v>0.2</v>
      </c>
      <c r="N60" s="37">
        <f>Inputs_Delivery_Effort!Z52</f>
        <v>0.2</v>
      </c>
      <c r="O60" s="37">
        <f>Inputs_Delivery_Effort!AA52</f>
        <v>0.2</v>
      </c>
      <c r="P60" s="263"/>
    </row>
    <row r="61" spans="1:16" x14ac:dyDescent="0.25">
      <c r="A61" s="263"/>
      <c r="B61" s="263"/>
      <c r="C61" s="263" t="s">
        <v>142</v>
      </c>
      <c r="D61" s="263" t="s">
        <v>30</v>
      </c>
      <c r="E61" s="263" t="s">
        <v>42</v>
      </c>
      <c r="F61" s="263"/>
      <c r="G61" s="675">
        <f t="shared" ref="G61:O61" si="13">(G56*IT_Consultant_Daily_Rate)*G60</f>
        <v>11220.000000000002</v>
      </c>
      <c r="H61" s="675">
        <f t="shared" si="13"/>
        <v>15180</v>
      </c>
      <c r="I61" s="675">
        <f t="shared" si="13"/>
        <v>11220.000000000002</v>
      </c>
      <c r="J61" s="675">
        <f t="shared" si="13"/>
        <v>11220.000000000002</v>
      </c>
      <c r="K61" s="675">
        <f t="shared" si="13"/>
        <v>0</v>
      </c>
      <c r="L61" s="675">
        <f t="shared" si="13"/>
        <v>9900.0000000000018</v>
      </c>
      <c r="M61" s="675">
        <f t="shared" si="13"/>
        <v>2970.0000000000005</v>
      </c>
      <c r="N61" s="675">
        <f t="shared" si="13"/>
        <v>0</v>
      </c>
      <c r="O61" s="675">
        <f t="shared" si="13"/>
        <v>2970.0000000000005</v>
      </c>
      <c r="P61" s="263"/>
    </row>
    <row r="62" spans="1:16" x14ac:dyDescent="0.25">
      <c r="A62" s="263"/>
      <c r="B62" s="263"/>
      <c r="C62" s="263"/>
      <c r="D62" s="263"/>
      <c r="E62" s="263"/>
      <c r="F62" s="263"/>
      <c r="G62" s="263"/>
      <c r="H62" s="263"/>
      <c r="I62" s="263"/>
      <c r="J62" s="263"/>
      <c r="K62" s="263"/>
      <c r="L62" s="263"/>
      <c r="M62" s="263"/>
      <c r="N62" s="263"/>
      <c r="O62" s="263"/>
      <c r="P62" s="263"/>
    </row>
    <row r="63" spans="1:16" x14ac:dyDescent="0.25">
      <c r="A63" s="117"/>
      <c r="B63" s="124"/>
      <c r="C63" s="125" t="s">
        <v>143</v>
      </c>
      <c r="D63" s="125"/>
      <c r="E63" s="125"/>
      <c r="F63" s="126"/>
      <c r="G63" s="126"/>
      <c r="H63" s="126"/>
      <c r="I63" s="126"/>
      <c r="J63" s="126"/>
      <c r="K63" s="126"/>
      <c r="L63" s="126"/>
      <c r="M63" s="126"/>
      <c r="N63" s="126"/>
      <c r="O63" s="126"/>
      <c r="P63" s="263"/>
    </row>
    <row r="64" spans="1:16" x14ac:dyDescent="0.25">
      <c r="A64" s="117"/>
      <c r="B64" s="124"/>
      <c r="C64" s="124"/>
      <c r="D64" s="124"/>
      <c r="E64" s="124"/>
      <c r="F64" s="128"/>
      <c r="G64" s="128"/>
      <c r="H64" s="128"/>
      <c r="I64" s="128"/>
      <c r="J64" s="128"/>
      <c r="K64" s="128"/>
      <c r="L64" s="128"/>
      <c r="M64" s="128"/>
      <c r="N64" s="128"/>
      <c r="O64" s="128"/>
      <c r="P64" s="263"/>
    </row>
    <row r="65" spans="1:16" x14ac:dyDescent="0.25">
      <c r="A65" s="263"/>
      <c r="B65" s="263"/>
      <c r="C65" s="263" t="s">
        <v>143</v>
      </c>
      <c r="D65" s="263" t="s">
        <v>61</v>
      </c>
      <c r="E65" s="263" t="s">
        <v>50</v>
      </c>
      <c r="F65" s="263" t="s">
        <v>152</v>
      </c>
      <c r="G65" s="673">
        <f>Inputs_Delivery_Effort!S53</f>
        <v>112.20000000000002</v>
      </c>
      <c r="H65" s="673">
        <f>Inputs_Delivery_Effort!T53</f>
        <v>151.80000000000001</v>
      </c>
      <c r="I65" s="673">
        <f>Inputs_Delivery_Effort!U53</f>
        <v>112.20000000000002</v>
      </c>
      <c r="J65" s="673">
        <f>Inputs_Delivery_Effort!V53</f>
        <v>112.20000000000002</v>
      </c>
      <c r="K65" s="673">
        <f>Inputs_Delivery_Effort!W53</f>
        <v>0</v>
      </c>
      <c r="L65" s="673">
        <f>Inputs_Delivery_Effort!X53</f>
        <v>99.000000000000014</v>
      </c>
      <c r="M65" s="673">
        <f>Inputs_Delivery_Effort!Y53</f>
        <v>56.100000000000009</v>
      </c>
      <c r="N65" s="673">
        <f>Inputs_Delivery_Effort!Z53</f>
        <v>0</v>
      </c>
      <c r="O65" s="673">
        <f>Inputs_Delivery_Effort!AA53</f>
        <v>56.100000000000009</v>
      </c>
      <c r="P65" s="263"/>
    </row>
    <row r="66" spans="1:16" x14ac:dyDescent="0.25">
      <c r="A66" s="263"/>
      <c r="B66" s="263"/>
      <c r="C66" s="263" t="s">
        <v>143</v>
      </c>
      <c r="D66" s="263" t="s">
        <v>30</v>
      </c>
      <c r="E66" s="263" t="s">
        <v>50</v>
      </c>
      <c r="F66" s="263" t="s">
        <v>119</v>
      </c>
      <c r="G66" s="677">
        <f>Inputs_Delivery_Effort!S54</f>
        <v>0</v>
      </c>
      <c r="H66" s="677">
        <f>Inputs_Delivery_Effort!T54</f>
        <v>0</v>
      </c>
      <c r="I66" s="677">
        <f>Inputs_Delivery_Effort!U54</f>
        <v>0</v>
      </c>
      <c r="J66" s="677">
        <f>Inputs_Delivery_Effort!V54</f>
        <v>0</v>
      </c>
      <c r="K66" s="677">
        <f>Inputs_Delivery_Effort!W54</f>
        <v>0</v>
      </c>
      <c r="L66" s="677">
        <f>Inputs_Delivery_Effort!X54</f>
        <v>0</v>
      </c>
      <c r="M66" s="677">
        <f>Inputs_Delivery_Effort!Y54</f>
        <v>0</v>
      </c>
      <c r="N66" s="677">
        <f>Inputs_Delivery_Effort!Z54</f>
        <v>0</v>
      </c>
      <c r="O66" s="677">
        <f>Inputs_Delivery_Effort!AA54</f>
        <v>0</v>
      </c>
      <c r="P66" s="263"/>
    </row>
    <row r="67" spans="1:16" x14ac:dyDescent="0.25">
      <c r="A67" s="263"/>
      <c r="B67" s="263"/>
      <c r="C67" s="263" t="s">
        <v>143</v>
      </c>
      <c r="D67" s="263" t="s">
        <v>30</v>
      </c>
      <c r="E67" s="263" t="s">
        <v>43</v>
      </c>
      <c r="F67" s="263"/>
      <c r="G67" s="675">
        <f t="shared" ref="G67:O67" si="14">(G65*IT_Consultant_Daily_Rate)+G66</f>
        <v>56100.000000000007</v>
      </c>
      <c r="H67" s="675">
        <f t="shared" si="14"/>
        <v>75900</v>
      </c>
      <c r="I67" s="675">
        <f t="shared" si="14"/>
        <v>56100.000000000007</v>
      </c>
      <c r="J67" s="675">
        <f t="shared" si="14"/>
        <v>56100.000000000007</v>
      </c>
      <c r="K67" s="675">
        <f t="shared" si="14"/>
        <v>0</v>
      </c>
      <c r="L67" s="675">
        <f t="shared" si="14"/>
        <v>49500.000000000007</v>
      </c>
      <c r="M67" s="675">
        <f t="shared" si="14"/>
        <v>28050.000000000004</v>
      </c>
      <c r="N67" s="675">
        <f t="shared" si="14"/>
        <v>0</v>
      </c>
      <c r="O67" s="675">
        <f t="shared" si="14"/>
        <v>28050.000000000004</v>
      </c>
      <c r="P67" s="263"/>
    </row>
    <row r="68" spans="1:16" x14ac:dyDescent="0.25">
      <c r="A68" s="263"/>
      <c r="B68" s="263"/>
      <c r="C68" s="263"/>
      <c r="D68" s="263"/>
      <c r="E68" s="263"/>
      <c r="F68" s="263"/>
      <c r="G68" s="263"/>
      <c r="H68" s="263"/>
      <c r="I68" s="263"/>
      <c r="J68" s="263"/>
      <c r="K68" s="263"/>
      <c r="L68" s="263"/>
      <c r="M68" s="263"/>
      <c r="N68" s="263"/>
      <c r="O68" s="263"/>
      <c r="P68" s="263"/>
    </row>
    <row r="69" spans="1:16" x14ac:dyDescent="0.25">
      <c r="A69" s="263"/>
      <c r="B69" s="263"/>
      <c r="C69" s="263" t="s">
        <v>143</v>
      </c>
      <c r="D69" s="263" t="s">
        <v>49</v>
      </c>
      <c r="E69" s="263" t="s">
        <v>47</v>
      </c>
      <c r="F69" s="263" t="s">
        <v>120</v>
      </c>
      <c r="G69" s="37">
        <f>Inputs_Delivery_Effort!S58</f>
        <v>0.2</v>
      </c>
      <c r="H69" s="37">
        <f>Inputs_Delivery_Effort!T58</f>
        <v>0.2</v>
      </c>
      <c r="I69" s="37">
        <f>Inputs_Delivery_Effort!U58</f>
        <v>0.2</v>
      </c>
      <c r="J69" s="37">
        <f>Inputs_Delivery_Effort!V58</f>
        <v>0.2</v>
      </c>
      <c r="K69" s="37">
        <f>Inputs_Delivery_Effort!W58</f>
        <v>0.2</v>
      </c>
      <c r="L69" s="37">
        <f>Inputs_Delivery_Effort!X58</f>
        <v>0.2</v>
      </c>
      <c r="M69" s="37">
        <f>Inputs_Delivery_Effort!Y58</f>
        <v>0.2</v>
      </c>
      <c r="N69" s="37">
        <f>Inputs_Delivery_Effort!Z58</f>
        <v>0.2</v>
      </c>
      <c r="O69" s="37">
        <f>Inputs_Delivery_Effort!AA58</f>
        <v>0.2</v>
      </c>
      <c r="P69" s="263"/>
    </row>
    <row r="70" spans="1:16" x14ac:dyDescent="0.25">
      <c r="A70" s="263"/>
      <c r="B70" s="263"/>
      <c r="C70" s="263" t="s">
        <v>143</v>
      </c>
      <c r="D70" s="263" t="s">
        <v>30</v>
      </c>
      <c r="E70" s="263"/>
      <c r="F70" s="263"/>
      <c r="G70" s="675">
        <f t="shared" ref="G70:O70" si="15">(G65*IT_Consultant_Daily_Rate)*G69</f>
        <v>11220.000000000002</v>
      </c>
      <c r="H70" s="675">
        <f t="shared" si="15"/>
        <v>15180</v>
      </c>
      <c r="I70" s="675">
        <f t="shared" si="15"/>
        <v>11220.000000000002</v>
      </c>
      <c r="J70" s="675">
        <f t="shared" si="15"/>
        <v>11220.000000000002</v>
      </c>
      <c r="K70" s="675">
        <f t="shared" si="15"/>
        <v>0</v>
      </c>
      <c r="L70" s="675">
        <f t="shared" si="15"/>
        <v>9900.0000000000018</v>
      </c>
      <c r="M70" s="675">
        <f t="shared" si="15"/>
        <v>5610.0000000000009</v>
      </c>
      <c r="N70" s="675">
        <f t="shared" si="15"/>
        <v>0</v>
      </c>
      <c r="O70" s="675">
        <f t="shared" si="15"/>
        <v>5610.0000000000009</v>
      </c>
      <c r="P70" s="263"/>
    </row>
    <row r="71" spans="1:16" x14ac:dyDescent="0.25">
      <c r="A71" s="263"/>
      <c r="B71" s="263"/>
      <c r="C71" s="263"/>
      <c r="D71" s="263"/>
      <c r="E71" s="263"/>
      <c r="F71" s="263"/>
      <c r="G71" s="263"/>
      <c r="H71" s="263"/>
      <c r="I71" s="263"/>
      <c r="J71" s="263"/>
      <c r="K71" s="263"/>
      <c r="L71" s="263"/>
      <c r="M71" s="263"/>
      <c r="N71" s="263"/>
      <c r="O71" s="263"/>
      <c r="P71" s="263"/>
    </row>
    <row r="72" spans="1:16" x14ac:dyDescent="0.25">
      <c r="A72" s="117"/>
      <c r="B72" s="124"/>
      <c r="C72" s="125" t="s">
        <v>147</v>
      </c>
      <c r="D72" s="125"/>
      <c r="E72" s="125"/>
      <c r="F72" s="126"/>
      <c r="G72" s="126"/>
      <c r="H72" s="126"/>
      <c r="I72" s="126"/>
      <c r="J72" s="126"/>
      <c r="K72" s="126"/>
      <c r="L72" s="126"/>
      <c r="M72" s="126"/>
      <c r="N72" s="126"/>
      <c r="O72" s="126"/>
      <c r="P72" s="263"/>
    </row>
    <row r="73" spans="1:16" x14ac:dyDescent="0.25">
      <c r="A73" s="117"/>
      <c r="B73" s="124"/>
      <c r="C73" s="124"/>
      <c r="D73" s="124"/>
      <c r="E73" s="124"/>
      <c r="F73" s="128"/>
      <c r="G73" s="128"/>
      <c r="H73" s="128"/>
      <c r="I73" s="128"/>
      <c r="J73" s="128"/>
      <c r="K73" s="128"/>
      <c r="L73" s="128"/>
      <c r="M73" s="128"/>
      <c r="N73" s="128"/>
      <c r="O73" s="128"/>
      <c r="P73" s="263"/>
    </row>
    <row r="74" spans="1:16" x14ac:dyDescent="0.25">
      <c r="A74" s="263"/>
      <c r="B74" s="263"/>
      <c r="C74" s="263" t="s">
        <v>147</v>
      </c>
      <c r="D74" s="263" t="s">
        <v>61</v>
      </c>
      <c r="E74" s="263" t="s">
        <v>50</v>
      </c>
      <c r="F74" s="263" t="s">
        <v>152</v>
      </c>
      <c r="G74" s="673">
        <f>Inputs_Delivery_Effort!S56</f>
        <v>24.75</v>
      </c>
      <c r="H74" s="673">
        <f>Inputs_Delivery_Effort!T56</f>
        <v>24.75</v>
      </c>
      <c r="I74" s="673">
        <f>Inputs_Delivery_Effort!U56</f>
        <v>24.75</v>
      </c>
      <c r="J74" s="673">
        <f>Inputs_Delivery_Effort!V56</f>
        <v>24.75</v>
      </c>
      <c r="K74" s="673">
        <f>Inputs_Delivery_Effort!W56</f>
        <v>0</v>
      </c>
      <c r="L74" s="673">
        <f>Inputs_Delivery_Effort!X56</f>
        <v>24.75</v>
      </c>
      <c r="M74" s="673">
        <f>Inputs_Delivery_Effort!Y56</f>
        <v>12.375</v>
      </c>
      <c r="N74" s="673">
        <f>Inputs_Delivery_Effort!Z56</f>
        <v>0</v>
      </c>
      <c r="O74" s="673">
        <f>Inputs_Delivery_Effort!AA56</f>
        <v>12.375</v>
      </c>
      <c r="P74" s="263"/>
    </row>
    <row r="75" spans="1:16" x14ac:dyDescent="0.25">
      <c r="A75" s="263"/>
      <c r="B75" s="263"/>
      <c r="C75" s="263" t="s">
        <v>147</v>
      </c>
      <c r="D75" s="263" t="s">
        <v>30</v>
      </c>
      <c r="E75" s="263" t="s">
        <v>50</v>
      </c>
      <c r="F75" s="263" t="s">
        <v>119</v>
      </c>
      <c r="G75" s="677">
        <f>Inputs_Delivery_Effort!S57</f>
        <v>0</v>
      </c>
      <c r="H75" s="677">
        <f>Inputs_Delivery_Effort!T57</f>
        <v>0</v>
      </c>
      <c r="I75" s="677">
        <f>Inputs_Delivery_Effort!U57</f>
        <v>0</v>
      </c>
      <c r="J75" s="677">
        <f>Inputs_Delivery_Effort!V57</f>
        <v>0</v>
      </c>
      <c r="K75" s="677">
        <f>Inputs_Delivery_Effort!W57</f>
        <v>0</v>
      </c>
      <c r="L75" s="677">
        <f>Inputs_Delivery_Effort!X57</f>
        <v>0</v>
      </c>
      <c r="M75" s="677">
        <f>Inputs_Delivery_Effort!Y57</f>
        <v>0</v>
      </c>
      <c r="N75" s="677">
        <f>Inputs_Delivery_Effort!Z57</f>
        <v>0</v>
      </c>
      <c r="O75" s="677">
        <f>Inputs_Delivery_Effort!AA57</f>
        <v>0</v>
      </c>
      <c r="P75" s="263"/>
    </row>
    <row r="76" spans="1:16" x14ac:dyDescent="0.25">
      <c r="A76" s="263"/>
      <c r="B76" s="263"/>
      <c r="C76" s="263" t="s">
        <v>147</v>
      </c>
      <c r="D76" s="263" t="s">
        <v>30</v>
      </c>
      <c r="E76" s="263" t="s">
        <v>43</v>
      </c>
      <c r="F76" s="263"/>
      <c r="G76" s="675">
        <f t="shared" ref="G76:O76" si="16">(G74*IT_Consultant_Daily_Rate)+G75</f>
        <v>12375</v>
      </c>
      <c r="H76" s="675">
        <f t="shared" si="16"/>
        <v>12375</v>
      </c>
      <c r="I76" s="675">
        <f t="shared" si="16"/>
        <v>12375</v>
      </c>
      <c r="J76" s="675">
        <f t="shared" si="16"/>
        <v>12375</v>
      </c>
      <c r="K76" s="675">
        <f t="shared" si="16"/>
        <v>0</v>
      </c>
      <c r="L76" s="675">
        <f t="shared" si="16"/>
        <v>12375</v>
      </c>
      <c r="M76" s="675">
        <f t="shared" si="16"/>
        <v>6187.5</v>
      </c>
      <c r="N76" s="675">
        <f t="shared" si="16"/>
        <v>0</v>
      </c>
      <c r="O76" s="675">
        <f t="shared" si="16"/>
        <v>6187.5</v>
      </c>
      <c r="P76" s="263"/>
    </row>
    <row r="77" spans="1:16" x14ac:dyDescent="0.25">
      <c r="A77" s="263"/>
      <c r="B77" s="263"/>
      <c r="C77" s="263"/>
      <c r="D77" s="263"/>
      <c r="E77" s="263"/>
      <c r="F77" s="263"/>
      <c r="G77" s="263"/>
      <c r="H77" s="263"/>
      <c r="I77" s="263"/>
      <c r="J77" s="263"/>
      <c r="K77" s="263"/>
      <c r="L77" s="263"/>
      <c r="M77" s="263"/>
      <c r="N77" s="263"/>
      <c r="O77" s="263"/>
      <c r="P77" s="263"/>
    </row>
    <row r="78" spans="1:16" s="131" customFormat="1" x14ac:dyDescent="0.25">
      <c r="A78" s="39"/>
      <c r="B78" s="39"/>
      <c r="C78" s="39" t="s">
        <v>147</v>
      </c>
      <c r="D78" s="39" t="s">
        <v>49</v>
      </c>
      <c r="E78" s="39" t="s">
        <v>47</v>
      </c>
      <c r="F78" s="39" t="s">
        <v>120</v>
      </c>
      <c r="G78" s="37">
        <f>Inputs_Delivery_Effort!S58</f>
        <v>0.2</v>
      </c>
      <c r="H78" s="37">
        <f>Inputs_Delivery_Effort!T58</f>
        <v>0.2</v>
      </c>
      <c r="I78" s="37">
        <f>Inputs_Delivery_Effort!U58</f>
        <v>0.2</v>
      </c>
      <c r="J78" s="37">
        <f>Inputs_Delivery_Effort!V58</f>
        <v>0.2</v>
      </c>
      <c r="K78" s="37">
        <f>Inputs_Delivery_Effort!W58</f>
        <v>0.2</v>
      </c>
      <c r="L78" s="37">
        <f>Inputs_Delivery_Effort!X58</f>
        <v>0.2</v>
      </c>
      <c r="M78" s="37">
        <f>Inputs_Delivery_Effort!Y58</f>
        <v>0.2</v>
      </c>
      <c r="N78" s="37">
        <f>Inputs_Delivery_Effort!Z58</f>
        <v>0.2</v>
      </c>
      <c r="O78" s="37">
        <f>Inputs_Delivery_Effort!AA58</f>
        <v>0.2</v>
      </c>
      <c r="P78" s="39"/>
    </row>
    <row r="79" spans="1:16" s="131" customFormat="1" x14ac:dyDescent="0.25">
      <c r="A79" s="39"/>
      <c r="B79" s="39"/>
      <c r="C79" s="39" t="s">
        <v>147</v>
      </c>
      <c r="D79" s="265" t="s">
        <v>30</v>
      </c>
      <c r="E79" s="265" t="s">
        <v>42</v>
      </c>
      <c r="F79" s="39"/>
      <c r="G79" s="675">
        <f t="shared" ref="G79:O79" si="17">(G74*IT_Consultant_Daily_Rate)*G78</f>
        <v>2475</v>
      </c>
      <c r="H79" s="675">
        <f t="shared" si="17"/>
        <v>2475</v>
      </c>
      <c r="I79" s="675">
        <f t="shared" si="17"/>
        <v>2475</v>
      </c>
      <c r="J79" s="675">
        <f t="shared" si="17"/>
        <v>2475</v>
      </c>
      <c r="K79" s="675">
        <f t="shared" si="17"/>
        <v>0</v>
      </c>
      <c r="L79" s="675">
        <f t="shared" si="17"/>
        <v>2475</v>
      </c>
      <c r="M79" s="675">
        <f t="shared" si="17"/>
        <v>1237.5</v>
      </c>
      <c r="N79" s="675">
        <f t="shared" si="17"/>
        <v>0</v>
      </c>
      <c r="O79" s="675">
        <f t="shared" si="17"/>
        <v>1237.5</v>
      </c>
      <c r="P79" s="39"/>
    </row>
    <row r="80" spans="1:16" x14ac:dyDescent="0.25">
      <c r="A80" s="263"/>
      <c r="B80" s="263"/>
      <c r="C80" s="263"/>
      <c r="D80" s="263"/>
      <c r="E80" s="263"/>
      <c r="F80" s="263"/>
      <c r="G80" s="263"/>
      <c r="H80" s="263"/>
      <c r="I80" s="263"/>
      <c r="J80" s="263"/>
      <c r="K80" s="263"/>
      <c r="L80" s="263"/>
      <c r="M80" s="263"/>
      <c r="N80" s="263"/>
      <c r="O80" s="263"/>
      <c r="P80" s="263"/>
    </row>
    <row r="81" spans="1:16" x14ac:dyDescent="0.25">
      <c r="A81" s="117"/>
      <c r="B81" s="124"/>
      <c r="C81" s="125" t="s">
        <v>144</v>
      </c>
      <c r="D81" s="125"/>
      <c r="E81" s="125"/>
      <c r="F81" s="126"/>
      <c r="G81" s="126"/>
      <c r="H81" s="126"/>
      <c r="I81" s="126"/>
      <c r="J81" s="126"/>
      <c r="K81" s="126"/>
      <c r="L81" s="126"/>
      <c r="M81" s="126"/>
      <c r="N81" s="126"/>
      <c r="O81" s="126"/>
      <c r="P81" s="263"/>
    </row>
    <row r="82" spans="1:16" x14ac:dyDescent="0.25">
      <c r="A82" s="117"/>
      <c r="B82" s="124"/>
      <c r="C82" s="124"/>
      <c r="D82" s="124"/>
      <c r="E82" s="124"/>
      <c r="F82" s="128"/>
      <c r="G82" s="128"/>
      <c r="H82" s="128"/>
      <c r="I82" s="128"/>
      <c r="J82" s="128"/>
      <c r="K82" s="128"/>
      <c r="L82" s="128"/>
      <c r="M82" s="128"/>
      <c r="N82" s="128"/>
      <c r="O82" s="128"/>
      <c r="P82" s="263"/>
    </row>
    <row r="83" spans="1:16" x14ac:dyDescent="0.25">
      <c r="A83" s="263"/>
      <c r="B83" s="263"/>
      <c r="C83" s="263" t="s">
        <v>144</v>
      </c>
      <c r="D83" s="263" t="s">
        <v>61</v>
      </c>
      <c r="E83" s="263" t="s">
        <v>50</v>
      </c>
      <c r="F83" s="263" t="s">
        <v>152</v>
      </c>
      <c r="G83" s="673">
        <f>Inputs_Delivery_Effort!S59</f>
        <v>79.200000000000017</v>
      </c>
      <c r="H83" s="673">
        <f>Inputs_Delivery_Effort!T59</f>
        <v>118.80000000000001</v>
      </c>
      <c r="I83" s="673">
        <f>Inputs_Delivery_Effort!U59</f>
        <v>79.200000000000017</v>
      </c>
      <c r="J83" s="673">
        <f>Inputs_Delivery_Effort!V59</f>
        <v>79.200000000000017</v>
      </c>
      <c r="K83" s="673">
        <f>Inputs_Delivery_Effort!W59</f>
        <v>217.80000000000007</v>
      </c>
      <c r="L83" s="673">
        <f>Inputs_Delivery_Effort!X59</f>
        <v>79.200000000000017</v>
      </c>
      <c r="M83" s="673">
        <f>Inputs_Delivery_Effort!Y59</f>
        <v>39.600000000000009</v>
      </c>
      <c r="N83" s="673">
        <f>Inputs_Delivery_Effort!Z59</f>
        <v>0</v>
      </c>
      <c r="O83" s="673">
        <f>Inputs_Delivery_Effort!AA59</f>
        <v>39.600000000000009</v>
      </c>
      <c r="P83" s="263"/>
    </row>
    <row r="84" spans="1:16" x14ac:dyDescent="0.25">
      <c r="A84" s="263"/>
      <c r="B84" s="263"/>
      <c r="C84" s="263" t="s">
        <v>144</v>
      </c>
      <c r="D84" s="263" t="s">
        <v>30</v>
      </c>
      <c r="E84" s="263" t="s">
        <v>50</v>
      </c>
      <c r="F84" s="263" t="s">
        <v>119</v>
      </c>
      <c r="G84" s="677">
        <f>Inputs_Delivery_Effort!S60</f>
        <v>0</v>
      </c>
      <c r="H84" s="677">
        <f>Inputs_Delivery_Effort!T60</f>
        <v>0</v>
      </c>
      <c r="I84" s="677">
        <f>Inputs_Delivery_Effort!U60</f>
        <v>0</v>
      </c>
      <c r="J84" s="677">
        <f>Inputs_Delivery_Effort!V60</f>
        <v>0</v>
      </c>
      <c r="K84" s="677">
        <f>Inputs_Delivery_Effort!W60</f>
        <v>0</v>
      </c>
      <c r="L84" s="677">
        <f>Inputs_Delivery_Effort!X60</f>
        <v>0</v>
      </c>
      <c r="M84" s="677">
        <f>Inputs_Delivery_Effort!Y60</f>
        <v>0</v>
      </c>
      <c r="N84" s="677">
        <f>Inputs_Delivery_Effort!Z60</f>
        <v>0</v>
      </c>
      <c r="O84" s="677">
        <f>Inputs_Delivery_Effort!AA60</f>
        <v>0</v>
      </c>
      <c r="P84" s="263"/>
    </row>
    <row r="85" spans="1:16" x14ac:dyDescent="0.25">
      <c r="A85" s="263"/>
      <c r="B85" s="263"/>
      <c r="C85" s="263" t="s">
        <v>144</v>
      </c>
      <c r="D85" s="263" t="s">
        <v>30</v>
      </c>
      <c r="E85" s="263" t="s">
        <v>43</v>
      </c>
      <c r="F85" s="263"/>
      <c r="G85" s="675">
        <f t="shared" ref="G85:O85" si="18">(G83*IT_Consultant_Daily_Rate)+G84</f>
        <v>39600.000000000007</v>
      </c>
      <c r="H85" s="675">
        <f t="shared" si="18"/>
        <v>59400.000000000007</v>
      </c>
      <c r="I85" s="675">
        <f t="shared" si="18"/>
        <v>39600.000000000007</v>
      </c>
      <c r="J85" s="675">
        <f t="shared" si="18"/>
        <v>39600.000000000007</v>
      </c>
      <c r="K85" s="675">
        <f t="shared" si="18"/>
        <v>108900.00000000003</v>
      </c>
      <c r="L85" s="675">
        <f t="shared" si="18"/>
        <v>39600.000000000007</v>
      </c>
      <c r="M85" s="675">
        <f t="shared" si="18"/>
        <v>19800.000000000004</v>
      </c>
      <c r="N85" s="675">
        <f t="shared" si="18"/>
        <v>0</v>
      </c>
      <c r="O85" s="675">
        <f t="shared" si="18"/>
        <v>19800.000000000004</v>
      </c>
      <c r="P85" s="263"/>
    </row>
    <row r="86" spans="1:16" x14ac:dyDescent="0.25">
      <c r="A86" s="263"/>
      <c r="B86" s="263"/>
      <c r="C86" s="263"/>
      <c r="D86" s="263"/>
      <c r="E86" s="263"/>
      <c r="F86" s="263"/>
      <c r="G86" s="263"/>
      <c r="H86" s="263"/>
      <c r="I86" s="263"/>
      <c r="J86" s="263"/>
      <c r="K86" s="263"/>
      <c r="L86" s="263"/>
      <c r="M86" s="263"/>
      <c r="N86" s="263"/>
      <c r="O86" s="263"/>
      <c r="P86" s="263"/>
    </row>
    <row r="87" spans="1:16" x14ac:dyDescent="0.25">
      <c r="A87" s="263"/>
      <c r="B87" s="263"/>
      <c r="C87" s="263" t="s">
        <v>144</v>
      </c>
      <c r="D87" s="263" t="s">
        <v>49</v>
      </c>
      <c r="E87" s="263" t="s">
        <v>47</v>
      </c>
      <c r="F87" s="263" t="s">
        <v>120</v>
      </c>
      <c r="G87" s="37">
        <f>Inputs_Delivery_Effort!S61</f>
        <v>0.2</v>
      </c>
      <c r="H87" s="37">
        <f>Inputs_Delivery_Effort!T61</f>
        <v>0.2</v>
      </c>
      <c r="I87" s="37">
        <f>Inputs_Delivery_Effort!U61</f>
        <v>0.2</v>
      </c>
      <c r="J87" s="37">
        <f>Inputs_Delivery_Effort!V61</f>
        <v>0.2</v>
      </c>
      <c r="K87" s="37">
        <f>Inputs_Delivery_Effort!W61</f>
        <v>0.2</v>
      </c>
      <c r="L87" s="37">
        <f>Inputs_Delivery_Effort!X61</f>
        <v>0.2</v>
      </c>
      <c r="M87" s="37">
        <f>Inputs_Delivery_Effort!Y61</f>
        <v>0.2</v>
      </c>
      <c r="N87" s="37">
        <f>Inputs_Delivery_Effort!Z61</f>
        <v>0.2</v>
      </c>
      <c r="O87" s="37">
        <f>Inputs_Delivery_Effort!AA61</f>
        <v>0.2</v>
      </c>
      <c r="P87" s="263"/>
    </row>
    <row r="88" spans="1:16" x14ac:dyDescent="0.25">
      <c r="A88" s="263"/>
      <c r="B88" s="263"/>
      <c r="C88" s="263" t="s">
        <v>144</v>
      </c>
      <c r="D88" s="263" t="s">
        <v>30</v>
      </c>
      <c r="E88" s="263" t="s">
        <v>42</v>
      </c>
      <c r="F88" s="263"/>
      <c r="G88" s="675">
        <f t="shared" ref="G88:O88" si="19">(G83*IT_Consultant_Daily_Rate)*G87</f>
        <v>7920.0000000000018</v>
      </c>
      <c r="H88" s="675">
        <f t="shared" si="19"/>
        <v>11880.000000000002</v>
      </c>
      <c r="I88" s="675">
        <f t="shared" si="19"/>
        <v>7920.0000000000018</v>
      </c>
      <c r="J88" s="675">
        <f t="shared" si="19"/>
        <v>7920.0000000000018</v>
      </c>
      <c r="K88" s="675">
        <f t="shared" si="19"/>
        <v>21780.000000000007</v>
      </c>
      <c r="L88" s="675">
        <f t="shared" si="19"/>
        <v>7920.0000000000018</v>
      </c>
      <c r="M88" s="675">
        <f t="shared" si="19"/>
        <v>3960.0000000000009</v>
      </c>
      <c r="N88" s="675">
        <f t="shared" si="19"/>
        <v>0</v>
      </c>
      <c r="O88" s="675">
        <f t="shared" si="19"/>
        <v>3960.0000000000009</v>
      </c>
      <c r="P88" s="263"/>
    </row>
    <row r="89" spans="1:16" x14ac:dyDescent="0.25">
      <c r="A89" s="263"/>
      <c r="B89" s="263"/>
      <c r="C89" s="263"/>
      <c r="D89" s="263"/>
      <c r="E89" s="263"/>
      <c r="F89" s="263"/>
      <c r="G89" s="263"/>
      <c r="H89" s="263"/>
      <c r="I89" s="263"/>
      <c r="J89" s="263"/>
      <c r="K89" s="263"/>
      <c r="L89" s="263"/>
      <c r="M89" s="263"/>
      <c r="N89" s="263"/>
      <c r="O89" s="263"/>
      <c r="P89" s="263"/>
    </row>
    <row r="90" spans="1:16" x14ac:dyDescent="0.25">
      <c r="A90" s="117"/>
      <c r="B90" s="124"/>
      <c r="C90" s="125" t="s">
        <v>114</v>
      </c>
      <c r="D90" s="125"/>
      <c r="E90" s="125"/>
      <c r="F90" s="126"/>
      <c r="G90" s="126"/>
      <c r="H90" s="126"/>
      <c r="I90" s="126"/>
      <c r="J90" s="126"/>
      <c r="K90" s="126"/>
      <c r="L90" s="126"/>
      <c r="M90" s="126"/>
      <c r="N90" s="126"/>
      <c r="O90" s="126"/>
      <c r="P90" s="263"/>
    </row>
    <row r="91" spans="1:16" x14ac:dyDescent="0.25">
      <c r="A91" s="117"/>
      <c r="B91" s="124"/>
      <c r="C91" s="124"/>
      <c r="D91" s="124"/>
      <c r="E91" s="124"/>
      <c r="F91" s="128"/>
      <c r="G91" s="128"/>
      <c r="H91" s="128"/>
      <c r="I91" s="128"/>
      <c r="J91" s="128"/>
      <c r="K91" s="128"/>
      <c r="L91" s="128"/>
      <c r="M91" s="128"/>
      <c r="N91" s="128"/>
      <c r="O91" s="128"/>
      <c r="P91" s="263"/>
    </row>
    <row r="92" spans="1:16" x14ac:dyDescent="0.25">
      <c r="A92" s="263"/>
      <c r="B92" s="263"/>
      <c r="C92" s="263" t="s">
        <v>114</v>
      </c>
      <c r="D92" s="263" t="s">
        <v>61</v>
      </c>
      <c r="E92" s="263" t="s">
        <v>50</v>
      </c>
      <c r="F92" s="263" t="s">
        <v>152</v>
      </c>
      <c r="G92" s="673">
        <f>Inputs_Delivery_Effort!S62</f>
        <v>0</v>
      </c>
      <c r="H92" s="673">
        <f>Inputs_Delivery_Effort!T62</f>
        <v>0</v>
      </c>
      <c r="I92" s="673">
        <f>Inputs_Delivery_Effort!U62</f>
        <v>0</v>
      </c>
      <c r="J92" s="673">
        <f>Inputs_Delivery_Effort!V62</f>
        <v>0</v>
      </c>
      <c r="K92" s="673">
        <f>Inputs_Delivery_Effort!W62</f>
        <v>0</v>
      </c>
      <c r="L92" s="673">
        <f>Inputs_Delivery_Effort!X62</f>
        <v>0</v>
      </c>
      <c r="M92" s="673">
        <f>Inputs_Delivery_Effort!Y62</f>
        <v>0</v>
      </c>
      <c r="N92" s="673">
        <f>Inputs_Delivery_Effort!Z62</f>
        <v>0</v>
      </c>
      <c r="O92" s="673">
        <f>Inputs_Delivery_Effort!AA62</f>
        <v>0</v>
      </c>
      <c r="P92" s="263"/>
    </row>
    <row r="93" spans="1:16" x14ac:dyDescent="0.25">
      <c r="A93" s="263"/>
      <c r="B93" s="263"/>
      <c r="C93" s="263" t="s">
        <v>114</v>
      </c>
      <c r="D93" s="263" t="s">
        <v>30</v>
      </c>
      <c r="E93" s="263" t="s">
        <v>50</v>
      </c>
      <c r="F93" s="263" t="s">
        <v>119</v>
      </c>
      <c r="G93" s="677">
        <f>Inputs_Delivery_Effort!S63</f>
        <v>0</v>
      </c>
      <c r="H93" s="677">
        <f>Inputs_Delivery_Effort!T63</f>
        <v>0</v>
      </c>
      <c r="I93" s="677">
        <f>Inputs_Delivery_Effort!U63</f>
        <v>0</v>
      </c>
      <c r="J93" s="677">
        <f>Inputs_Delivery_Effort!V63</f>
        <v>0</v>
      </c>
      <c r="K93" s="677">
        <f>Inputs_Delivery_Effort!W63</f>
        <v>0</v>
      </c>
      <c r="L93" s="677">
        <f>Inputs_Delivery_Effort!X63</f>
        <v>0</v>
      </c>
      <c r="M93" s="677">
        <f>Inputs_Delivery_Effort!Y63</f>
        <v>0</v>
      </c>
      <c r="N93" s="677">
        <f>Inputs_Delivery_Effort!Z63</f>
        <v>0</v>
      </c>
      <c r="O93" s="677">
        <f>Inputs_Delivery_Effort!AA63</f>
        <v>0</v>
      </c>
      <c r="P93" s="263"/>
    </row>
    <row r="94" spans="1:16" x14ac:dyDescent="0.25">
      <c r="A94" s="263"/>
      <c r="B94" s="263"/>
      <c r="C94" s="263" t="s">
        <v>114</v>
      </c>
      <c r="D94" s="263" t="s">
        <v>30</v>
      </c>
      <c r="E94" s="263" t="s">
        <v>43</v>
      </c>
      <c r="F94" s="263"/>
      <c r="G94" s="675">
        <f t="shared" ref="G94:O94" si="20">(G92*IT_Consultant_Daily_Rate)+G93</f>
        <v>0</v>
      </c>
      <c r="H94" s="675">
        <f t="shared" si="20"/>
        <v>0</v>
      </c>
      <c r="I94" s="675">
        <f t="shared" si="20"/>
        <v>0</v>
      </c>
      <c r="J94" s="675">
        <f t="shared" si="20"/>
        <v>0</v>
      </c>
      <c r="K94" s="675">
        <f t="shared" si="20"/>
        <v>0</v>
      </c>
      <c r="L94" s="675">
        <f t="shared" si="20"/>
        <v>0</v>
      </c>
      <c r="M94" s="675">
        <f t="shared" si="20"/>
        <v>0</v>
      </c>
      <c r="N94" s="675">
        <f t="shared" si="20"/>
        <v>0</v>
      </c>
      <c r="O94" s="675">
        <f t="shared" si="20"/>
        <v>0</v>
      </c>
      <c r="P94" s="263"/>
    </row>
    <row r="95" spans="1:16" x14ac:dyDescent="0.25">
      <c r="A95" s="263"/>
      <c r="B95" s="263"/>
      <c r="C95" s="263"/>
      <c r="D95" s="263"/>
      <c r="E95" s="263"/>
      <c r="F95" s="263"/>
      <c r="G95" s="263"/>
      <c r="H95" s="263"/>
      <c r="I95" s="263"/>
      <c r="J95" s="263"/>
      <c r="K95" s="263"/>
      <c r="L95" s="263"/>
      <c r="M95" s="263"/>
      <c r="N95" s="263"/>
      <c r="O95" s="263"/>
      <c r="P95" s="263"/>
    </row>
    <row r="96" spans="1:16" x14ac:dyDescent="0.25">
      <c r="A96" s="263"/>
      <c r="B96" s="263"/>
      <c r="C96" s="263" t="s">
        <v>114</v>
      </c>
      <c r="D96" s="263" t="s">
        <v>49</v>
      </c>
      <c r="E96" s="263" t="s">
        <v>47</v>
      </c>
      <c r="F96" s="263" t="s">
        <v>120</v>
      </c>
      <c r="G96" s="37">
        <f>Inputs_Delivery_Effort!S64</f>
        <v>0.2</v>
      </c>
      <c r="H96" s="37">
        <f>Inputs_Delivery_Effort!T64</f>
        <v>0.2</v>
      </c>
      <c r="I96" s="37">
        <f>Inputs_Delivery_Effort!U64</f>
        <v>0.2</v>
      </c>
      <c r="J96" s="37">
        <f>Inputs_Delivery_Effort!V64</f>
        <v>0.2</v>
      </c>
      <c r="K96" s="37">
        <f>Inputs_Delivery_Effort!W64</f>
        <v>0.2</v>
      </c>
      <c r="L96" s="37">
        <f>Inputs_Delivery_Effort!X64</f>
        <v>0.2</v>
      </c>
      <c r="M96" s="37">
        <f>Inputs_Delivery_Effort!Y64</f>
        <v>0.2</v>
      </c>
      <c r="N96" s="37">
        <f>Inputs_Delivery_Effort!Z64</f>
        <v>0.2</v>
      </c>
      <c r="O96" s="37">
        <f>Inputs_Delivery_Effort!AA64</f>
        <v>0.2</v>
      </c>
      <c r="P96" s="263"/>
    </row>
    <row r="97" spans="1:16" x14ac:dyDescent="0.25">
      <c r="A97" s="263"/>
      <c r="B97" s="263"/>
      <c r="C97" s="263" t="s">
        <v>114</v>
      </c>
      <c r="D97" s="263" t="s">
        <v>30</v>
      </c>
      <c r="E97" s="263" t="s">
        <v>42</v>
      </c>
      <c r="F97" s="263"/>
      <c r="G97" s="675">
        <f t="shared" ref="G97:O97" si="21">(G92*IT_Consultant_Daily_Rate)*G96</f>
        <v>0</v>
      </c>
      <c r="H97" s="675">
        <f t="shared" si="21"/>
        <v>0</v>
      </c>
      <c r="I97" s="675">
        <f t="shared" si="21"/>
        <v>0</v>
      </c>
      <c r="J97" s="675">
        <f t="shared" si="21"/>
        <v>0</v>
      </c>
      <c r="K97" s="675">
        <f t="shared" si="21"/>
        <v>0</v>
      </c>
      <c r="L97" s="675">
        <f t="shared" si="21"/>
        <v>0</v>
      </c>
      <c r="M97" s="675">
        <f t="shared" si="21"/>
        <v>0</v>
      </c>
      <c r="N97" s="675">
        <f t="shared" si="21"/>
        <v>0</v>
      </c>
      <c r="O97" s="675">
        <f t="shared" si="21"/>
        <v>0</v>
      </c>
      <c r="P97" s="263"/>
    </row>
    <row r="98" spans="1:16" x14ac:dyDescent="0.25">
      <c r="A98" s="263"/>
      <c r="B98" s="263"/>
      <c r="C98" s="263"/>
      <c r="D98" s="263"/>
      <c r="E98" s="263"/>
      <c r="F98" s="263"/>
      <c r="G98" s="263"/>
      <c r="H98" s="263"/>
      <c r="I98" s="263"/>
      <c r="J98" s="263"/>
      <c r="K98" s="263"/>
      <c r="L98" s="263"/>
      <c r="M98" s="263"/>
      <c r="N98" s="263"/>
      <c r="O98" s="263"/>
      <c r="P98" s="263"/>
    </row>
    <row r="99" spans="1:16" x14ac:dyDescent="0.25">
      <c r="A99" s="117"/>
      <c r="B99" s="124"/>
      <c r="C99" s="125" t="s">
        <v>112</v>
      </c>
      <c r="D99" s="125"/>
      <c r="E99" s="125"/>
      <c r="F99" s="126"/>
      <c r="G99" s="126"/>
      <c r="H99" s="126"/>
      <c r="I99" s="126"/>
      <c r="J99" s="126"/>
      <c r="K99" s="126"/>
      <c r="L99" s="126"/>
      <c r="M99" s="126"/>
      <c r="N99" s="126"/>
      <c r="O99" s="126"/>
      <c r="P99" s="263"/>
    </row>
    <row r="100" spans="1:16" x14ac:dyDescent="0.25">
      <c r="A100" s="117"/>
      <c r="B100" s="124"/>
      <c r="C100" s="124"/>
      <c r="D100" s="124"/>
      <c r="E100" s="124"/>
      <c r="F100" s="128"/>
      <c r="G100" s="128"/>
      <c r="H100" s="128"/>
      <c r="I100" s="128"/>
      <c r="J100" s="128"/>
      <c r="K100" s="128"/>
      <c r="L100" s="128"/>
      <c r="M100" s="128"/>
      <c r="N100" s="128"/>
      <c r="O100" s="128"/>
      <c r="P100" s="263"/>
    </row>
    <row r="101" spans="1:16" x14ac:dyDescent="0.25">
      <c r="A101" s="263"/>
      <c r="B101" s="263"/>
      <c r="C101" s="263" t="s">
        <v>112</v>
      </c>
      <c r="D101" s="263" t="s">
        <v>61</v>
      </c>
      <c r="E101" s="263" t="s">
        <v>50</v>
      </c>
      <c r="F101" s="263" t="s">
        <v>152</v>
      </c>
      <c r="G101" s="673">
        <f>Inputs_Delivery_Effort!S65</f>
        <v>6.6000000000000005</v>
      </c>
      <c r="H101" s="673">
        <f>Inputs_Delivery_Effort!T65</f>
        <v>6.6000000000000005</v>
      </c>
      <c r="I101" s="673">
        <f>Inputs_Delivery_Effort!U65</f>
        <v>6.6000000000000005</v>
      </c>
      <c r="J101" s="673">
        <f>Inputs_Delivery_Effort!V65</f>
        <v>6.6000000000000005</v>
      </c>
      <c r="K101" s="673">
        <f>Inputs_Delivery_Effort!W65</f>
        <v>0</v>
      </c>
      <c r="L101" s="673">
        <f>Inputs_Delivery_Effort!X65</f>
        <v>0</v>
      </c>
      <c r="M101" s="673">
        <f>Inputs_Delivery_Effort!Y65</f>
        <v>3.3000000000000003</v>
      </c>
      <c r="N101" s="673">
        <f>Inputs_Delivery_Effort!Z65</f>
        <v>0</v>
      </c>
      <c r="O101" s="673">
        <f>Inputs_Delivery_Effort!AA65</f>
        <v>3.3000000000000003</v>
      </c>
      <c r="P101" s="263"/>
    </row>
    <row r="102" spans="1:16" x14ac:dyDescent="0.25">
      <c r="A102" s="263"/>
      <c r="B102" s="263"/>
      <c r="C102" s="263" t="s">
        <v>112</v>
      </c>
      <c r="D102" s="263" t="s">
        <v>30</v>
      </c>
      <c r="E102" s="263" t="s">
        <v>50</v>
      </c>
      <c r="F102" s="263" t="s">
        <v>119</v>
      </c>
      <c r="G102" s="677">
        <f>Inputs_Delivery_Effort!S66</f>
        <v>0</v>
      </c>
      <c r="H102" s="677">
        <f>Inputs_Delivery_Effort!T66</f>
        <v>0</v>
      </c>
      <c r="I102" s="677">
        <f>Inputs_Delivery_Effort!U66</f>
        <v>0</v>
      </c>
      <c r="J102" s="677">
        <f>Inputs_Delivery_Effort!V66</f>
        <v>0</v>
      </c>
      <c r="K102" s="677">
        <f>Inputs_Delivery_Effort!W66</f>
        <v>0</v>
      </c>
      <c r="L102" s="677">
        <f>Inputs_Delivery_Effort!X66</f>
        <v>0</v>
      </c>
      <c r="M102" s="677">
        <f>Inputs_Delivery_Effort!Y66</f>
        <v>0</v>
      </c>
      <c r="N102" s="677">
        <f>Inputs_Delivery_Effort!Z66</f>
        <v>0</v>
      </c>
      <c r="O102" s="677">
        <f>Inputs_Delivery_Effort!AA66</f>
        <v>0</v>
      </c>
      <c r="P102" s="263"/>
    </row>
    <row r="103" spans="1:16" x14ac:dyDescent="0.25">
      <c r="A103" s="263"/>
      <c r="B103" s="263"/>
      <c r="C103" s="263" t="s">
        <v>112</v>
      </c>
      <c r="D103" s="263" t="s">
        <v>30</v>
      </c>
      <c r="E103" s="263" t="s">
        <v>43</v>
      </c>
      <c r="F103" s="263"/>
      <c r="G103" s="675">
        <f t="shared" ref="G103:O103" si="22">(G101*IT_Consultant_Daily_Rate)+G102</f>
        <v>3300.0000000000005</v>
      </c>
      <c r="H103" s="675">
        <f t="shared" si="22"/>
        <v>3300.0000000000005</v>
      </c>
      <c r="I103" s="675">
        <f t="shared" si="22"/>
        <v>3300.0000000000005</v>
      </c>
      <c r="J103" s="675">
        <f t="shared" si="22"/>
        <v>3300.0000000000005</v>
      </c>
      <c r="K103" s="675">
        <f t="shared" si="22"/>
        <v>0</v>
      </c>
      <c r="L103" s="675">
        <f t="shared" si="22"/>
        <v>0</v>
      </c>
      <c r="M103" s="675">
        <f t="shared" si="22"/>
        <v>1650.0000000000002</v>
      </c>
      <c r="N103" s="675">
        <f t="shared" si="22"/>
        <v>0</v>
      </c>
      <c r="O103" s="675">
        <f t="shared" si="22"/>
        <v>1650.0000000000002</v>
      </c>
      <c r="P103" s="263"/>
    </row>
    <row r="104" spans="1:16" x14ac:dyDescent="0.25">
      <c r="A104" s="263"/>
      <c r="B104" s="263"/>
      <c r="C104" s="263"/>
      <c r="D104" s="263"/>
      <c r="E104" s="263"/>
      <c r="F104" s="263"/>
      <c r="G104" s="263"/>
      <c r="H104" s="263"/>
      <c r="I104" s="263"/>
      <c r="J104" s="263"/>
      <c r="K104" s="263"/>
      <c r="L104" s="263"/>
      <c r="M104" s="263"/>
      <c r="N104" s="263"/>
      <c r="O104" s="263"/>
      <c r="P104" s="263"/>
    </row>
    <row r="105" spans="1:16" x14ac:dyDescent="0.25">
      <c r="A105" s="263"/>
      <c r="B105" s="263"/>
      <c r="C105" s="263" t="s">
        <v>112</v>
      </c>
      <c r="D105" s="263" t="s">
        <v>49</v>
      </c>
      <c r="E105" s="263" t="s">
        <v>47</v>
      </c>
      <c r="F105" s="263" t="s">
        <v>120</v>
      </c>
      <c r="G105" s="37">
        <f>Inputs_Delivery_Effort!S67</f>
        <v>0.2</v>
      </c>
      <c r="H105" s="37">
        <f>Inputs_Delivery_Effort!T67</f>
        <v>0.2</v>
      </c>
      <c r="I105" s="37">
        <f>Inputs_Delivery_Effort!U67</f>
        <v>0.2</v>
      </c>
      <c r="J105" s="37">
        <f>Inputs_Delivery_Effort!V67</f>
        <v>0.2</v>
      </c>
      <c r="K105" s="37">
        <f>Inputs_Delivery_Effort!W67</f>
        <v>0.2</v>
      </c>
      <c r="L105" s="37">
        <f>Inputs_Delivery_Effort!X67</f>
        <v>0.2</v>
      </c>
      <c r="M105" s="37">
        <f>Inputs_Delivery_Effort!Y67</f>
        <v>0.2</v>
      </c>
      <c r="N105" s="37">
        <f>Inputs_Delivery_Effort!Z67</f>
        <v>0.2</v>
      </c>
      <c r="O105" s="37">
        <f>Inputs_Delivery_Effort!AA67</f>
        <v>0.2</v>
      </c>
      <c r="P105" s="263"/>
    </row>
    <row r="106" spans="1:16" x14ac:dyDescent="0.25">
      <c r="A106" s="263"/>
      <c r="B106" s="263"/>
      <c r="C106" s="263" t="s">
        <v>112</v>
      </c>
      <c r="D106" s="263" t="s">
        <v>30</v>
      </c>
      <c r="E106" s="263" t="s">
        <v>42</v>
      </c>
      <c r="F106" s="263"/>
      <c r="G106" s="675">
        <f t="shared" ref="G106:O106" si="23">(G101*IT_Consultant_Daily_Rate)*G105</f>
        <v>660.00000000000011</v>
      </c>
      <c r="H106" s="675">
        <f t="shared" si="23"/>
        <v>660.00000000000011</v>
      </c>
      <c r="I106" s="675">
        <f t="shared" si="23"/>
        <v>660.00000000000011</v>
      </c>
      <c r="J106" s="675">
        <f t="shared" si="23"/>
        <v>660.00000000000011</v>
      </c>
      <c r="K106" s="675">
        <f t="shared" si="23"/>
        <v>0</v>
      </c>
      <c r="L106" s="675">
        <f t="shared" si="23"/>
        <v>0</v>
      </c>
      <c r="M106" s="675">
        <f t="shared" si="23"/>
        <v>330.00000000000006</v>
      </c>
      <c r="N106" s="675">
        <f t="shared" si="23"/>
        <v>0</v>
      </c>
      <c r="O106" s="675">
        <f t="shared" si="23"/>
        <v>330.00000000000006</v>
      </c>
      <c r="P106" s="263"/>
    </row>
    <row r="107" spans="1:16" x14ac:dyDescent="0.25">
      <c r="A107" s="263"/>
      <c r="B107" s="263"/>
      <c r="C107" s="263"/>
      <c r="D107" s="263"/>
      <c r="E107" s="263"/>
      <c r="F107" s="263"/>
      <c r="G107" s="263"/>
      <c r="H107" s="263"/>
      <c r="I107" s="263"/>
      <c r="J107" s="263"/>
      <c r="K107" s="263"/>
      <c r="L107" s="263"/>
      <c r="M107" s="263"/>
      <c r="N107" s="263"/>
      <c r="O107" s="263"/>
      <c r="P107" s="263"/>
    </row>
    <row r="108" spans="1:16" x14ac:dyDescent="0.25">
      <c r="A108" s="117"/>
      <c r="B108" s="124"/>
      <c r="C108" s="125" t="s">
        <v>148</v>
      </c>
      <c r="D108" s="125"/>
      <c r="E108" s="125"/>
      <c r="F108" s="126"/>
      <c r="G108" s="126"/>
      <c r="H108" s="126"/>
      <c r="I108" s="126"/>
      <c r="J108" s="126"/>
      <c r="K108" s="126"/>
      <c r="L108" s="126"/>
      <c r="M108" s="126"/>
      <c r="N108" s="126"/>
      <c r="O108" s="126"/>
      <c r="P108" s="263"/>
    </row>
    <row r="109" spans="1:16" x14ac:dyDescent="0.25">
      <c r="A109" s="117"/>
      <c r="B109" s="124"/>
      <c r="C109" s="124"/>
      <c r="D109" s="124"/>
      <c r="E109" s="124"/>
      <c r="F109" s="128"/>
      <c r="G109" s="128"/>
      <c r="H109" s="128"/>
      <c r="I109" s="128"/>
      <c r="J109" s="128"/>
      <c r="K109" s="128"/>
      <c r="L109" s="128"/>
      <c r="M109" s="128"/>
      <c r="N109" s="128"/>
      <c r="O109" s="128"/>
      <c r="P109" s="263"/>
    </row>
    <row r="110" spans="1:16" x14ac:dyDescent="0.25">
      <c r="A110" s="263"/>
      <c r="B110" s="263"/>
      <c r="C110" s="263" t="s">
        <v>148</v>
      </c>
      <c r="D110" s="263" t="s">
        <v>61</v>
      </c>
      <c r="E110" s="263" t="s">
        <v>50</v>
      </c>
      <c r="F110" s="263" t="s">
        <v>151</v>
      </c>
      <c r="G110" s="673">
        <f>Inputs_Delivery_Effort!S68</f>
        <v>33</v>
      </c>
      <c r="H110" s="673">
        <f>Inputs_Delivery_Effort!T68</f>
        <v>33</v>
      </c>
      <c r="I110" s="673">
        <f>Inputs_Delivery_Effort!U68</f>
        <v>33</v>
      </c>
      <c r="J110" s="673">
        <f>Inputs_Delivery_Effort!V68</f>
        <v>33</v>
      </c>
      <c r="K110" s="673">
        <f>Inputs_Delivery_Effort!W68</f>
        <v>0</v>
      </c>
      <c r="L110" s="673">
        <f>Inputs_Delivery_Effort!X68</f>
        <v>0</v>
      </c>
      <c r="M110" s="673">
        <f>Inputs_Delivery_Effort!Y68</f>
        <v>16.5</v>
      </c>
      <c r="N110" s="673">
        <f>Inputs_Delivery_Effort!Z68</f>
        <v>0</v>
      </c>
      <c r="O110" s="673">
        <f>Inputs_Delivery_Effort!AA68</f>
        <v>16.5</v>
      </c>
      <c r="P110" s="263"/>
    </row>
    <row r="111" spans="1:16" x14ac:dyDescent="0.25">
      <c r="A111" s="263"/>
      <c r="B111" s="263"/>
      <c r="C111" s="263" t="s">
        <v>148</v>
      </c>
      <c r="D111" s="263" t="s">
        <v>30</v>
      </c>
      <c r="E111" s="263" t="s">
        <v>50</v>
      </c>
      <c r="F111" s="263" t="s">
        <v>119</v>
      </c>
      <c r="G111" s="677">
        <f>Inputs_Delivery_Effort!S69</f>
        <v>0</v>
      </c>
      <c r="H111" s="677">
        <f>Inputs_Delivery_Effort!T69</f>
        <v>0</v>
      </c>
      <c r="I111" s="677">
        <f>Inputs_Delivery_Effort!U69</f>
        <v>0</v>
      </c>
      <c r="J111" s="677">
        <f>Inputs_Delivery_Effort!V69</f>
        <v>0</v>
      </c>
      <c r="K111" s="677">
        <f>Inputs_Delivery_Effort!W69</f>
        <v>0</v>
      </c>
      <c r="L111" s="677">
        <f>Inputs_Delivery_Effort!X69</f>
        <v>0</v>
      </c>
      <c r="M111" s="677">
        <f>Inputs_Delivery_Effort!Y69</f>
        <v>0</v>
      </c>
      <c r="N111" s="677">
        <f>Inputs_Delivery_Effort!Z69</f>
        <v>0</v>
      </c>
      <c r="O111" s="677">
        <f>Inputs_Delivery_Effort!AA69</f>
        <v>0</v>
      </c>
      <c r="P111" s="263"/>
    </row>
    <row r="112" spans="1:16" x14ac:dyDescent="0.25">
      <c r="A112" s="263"/>
      <c r="B112" s="263"/>
      <c r="C112" s="263" t="s">
        <v>148</v>
      </c>
      <c r="D112" s="263" t="s">
        <v>30</v>
      </c>
      <c r="E112" s="263" t="s">
        <v>43</v>
      </c>
      <c r="F112" s="263"/>
      <c r="G112" s="675">
        <f t="shared" ref="G112:O112" si="24">(G110*IT_Consultant_Daily_Rate)+G111</f>
        <v>16500</v>
      </c>
      <c r="H112" s="675">
        <f t="shared" si="24"/>
        <v>16500</v>
      </c>
      <c r="I112" s="675">
        <f t="shared" si="24"/>
        <v>16500</v>
      </c>
      <c r="J112" s="675">
        <f t="shared" si="24"/>
        <v>16500</v>
      </c>
      <c r="K112" s="675">
        <f t="shared" si="24"/>
        <v>0</v>
      </c>
      <c r="L112" s="675">
        <f t="shared" si="24"/>
        <v>0</v>
      </c>
      <c r="M112" s="675">
        <f t="shared" si="24"/>
        <v>8250</v>
      </c>
      <c r="N112" s="675">
        <f t="shared" si="24"/>
        <v>0</v>
      </c>
      <c r="O112" s="675">
        <f t="shared" si="24"/>
        <v>8250</v>
      </c>
      <c r="P112" s="263"/>
    </row>
    <row r="113" spans="1:16" x14ac:dyDescent="0.25">
      <c r="A113" s="263"/>
      <c r="B113" s="263"/>
      <c r="C113" s="263"/>
      <c r="D113" s="263"/>
      <c r="E113" s="263"/>
      <c r="F113" s="263"/>
      <c r="G113" s="263"/>
      <c r="H113" s="263"/>
      <c r="I113" s="263"/>
      <c r="J113" s="263"/>
      <c r="K113" s="263"/>
      <c r="L113" s="263"/>
      <c r="M113" s="263"/>
      <c r="N113" s="263"/>
      <c r="O113" s="263"/>
      <c r="P113" s="263"/>
    </row>
    <row r="114" spans="1:16" x14ac:dyDescent="0.25">
      <c r="A114" s="263"/>
      <c r="B114" s="263"/>
      <c r="C114" s="263" t="s">
        <v>148</v>
      </c>
      <c r="D114" s="263" t="s">
        <v>49</v>
      </c>
      <c r="E114" s="263" t="s">
        <v>47</v>
      </c>
      <c r="F114" s="263" t="s">
        <v>120</v>
      </c>
      <c r="G114" s="37">
        <f>Inputs_Delivery_Effort!S70</f>
        <v>0.2</v>
      </c>
      <c r="H114" s="37">
        <f>Inputs_Delivery_Effort!T70</f>
        <v>0.2</v>
      </c>
      <c r="I114" s="37">
        <f>Inputs_Delivery_Effort!U70</f>
        <v>0.2</v>
      </c>
      <c r="J114" s="37">
        <f>Inputs_Delivery_Effort!V70</f>
        <v>0.2</v>
      </c>
      <c r="K114" s="37">
        <f>Inputs_Delivery_Effort!W70</f>
        <v>0.2</v>
      </c>
      <c r="L114" s="37">
        <f>Inputs_Delivery_Effort!X70</f>
        <v>0.2</v>
      </c>
      <c r="M114" s="37">
        <f>Inputs_Delivery_Effort!Y70</f>
        <v>0.2</v>
      </c>
      <c r="N114" s="37">
        <f>Inputs_Delivery_Effort!Z70</f>
        <v>0.2</v>
      </c>
      <c r="O114" s="37">
        <f>Inputs_Delivery_Effort!AA70</f>
        <v>0.2</v>
      </c>
      <c r="P114" s="263"/>
    </row>
    <row r="115" spans="1:16" x14ac:dyDescent="0.25">
      <c r="A115" s="263"/>
      <c r="B115" s="263"/>
      <c r="C115" s="263" t="s">
        <v>148</v>
      </c>
      <c r="D115" s="263" t="s">
        <v>30</v>
      </c>
      <c r="E115" s="263" t="s">
        <v>42</v>
      </c>
      <c r="F115" s="263"/>
      <c r="G115" s="675">
        <f t="shared" ref="G115:O115" si="25">(G110*IT_Consultant_Daily_Rate)*G114</f>
        <v>3300</v>
      </c>
      <c r="H115" s="675">
        <f t="shared" si="25"/>
        <v>3300</v>
      </c>
      <c r="I115" s="675">
        <f t="shared" si="25"/>
        <v>3300</v>
      </c>
      <c r="J115" s="675">
        <f t="shared" si="25"/>
        <v>3300</v>
      </c>
      <c r="K115" s="675">
        <f t="shared" si="25"/>
        <v>0</v>
      </c>
      <c r="L115" s="675">
        <f t="shared" si="25"/>
        <v>0</v>
      </c>
      <c r="M115" s="675">
        <f t="shared" si="25"/>
        <v>1650</v>
      </c>
      <c r="N115" s="675">
        <f t="shared" si="25"/>
        <v>0</v>
      </c>
      <c r="O115" s="675">
        <f t="shared" si="25"/>
        <v>1650</v>
      </c>
      <c r="P115" s="263"/>
    </row>
    <row r="116" spans="1:16" x14ac:dyDescent="0.25">
      <c r="A116" s="263"/>
      <c r="B116" s="263"/>
      <c r="C116" s="263"/>
      <c r="D116" s="263"/>
      <c r="E116" s="263"/>
      <c r="F116" s="263"/>
      <c r="G116" s="263"/>
      <c r="H116" s="263"/>
      <c r="I116" s="263"/>
      <c r="J116" s="263"/>
      <c r="K116" s="263"/>
      <c r="L116" s="263"/>
      <c r="M116" s="263"/>
      <c r="N116" s="263"/>
      <c r="O116" s="263"/>
      <c r="P116" s="263"/>
    </row>
    <row r="117" spans="1:16" x14ac:dyDescent="0.25">
      <c r="A117" s="117"/>
      <c r="B117" s="124"/>
      <c r="C117" s="125" t="s">
        <v>157</v>
      </c>
      <c r="D117" s="125"/>
      <c r="E117" s="125"/>
      <c r="F117" s="126"/>
      <c r="G117" s="126"/>
      <c r="H117" s="126"/>
      <c r="I117" s="126"/>
      <c r="J117" s="126"/>
      <c r="K117" s="126"/>
      <c r="L117" s="126"/>
      <c r="M117" s="126"/>
      <c r="N117" s="126"/>
      <c r="O117" s="126"/>
      <c r="P117" s="263"/>
    </row>
    <row r="118" spans="1:16" x14ac:dyDescent="0.25">
      <c r="A118" s="117"/>
      <c r="B118" s="124"/>
      <c r="C118" s="124"/>
      <c r="D118" s="124"/>
      <c r="E118" s="124"/>
      <c r="F118" s="128"/>
      <c r="G118" s="128"/>
      <c r="H118" s="128"/>
      <c r="I118" s="128"/>
      <c r="J118" s="128"/>
      <c r="K118" s="128"/>
      <c r="L118" s="128"/>
      <c r="M118" s="128"/>
      <c r="N118" s="128"/>
      <c r="O118" s="128"/>
      <c r="P118" s="263"/>
    </row>
    <row r="119" spans="1:16" x14ac:dyDescent="0.25">
      <c r="A119" s="263"/>
      <c r="B119" s="263"/>
      <c r="C119" s="263" t="s">
        <v>157</v>
      </c>
      <c r="D119" s="263" t="s">
        <v>61</v>
      </c>
      <c r="E119" s="263" t="s">
        <v>50</v>
      </c>
      <c r="F119" s="263" t="s">
        <v>152</v>
      </c>
      <c r="G119" s="673">
        <f>Inputs_Delivery_Effort!S71</f>
        <v>79.200000000000017</v>
      </c>
      <c r="H119" s="673">
        <f>Inputs_Delivery_Effort!T71</f>
        <v>118.80000000000001</v>
      </c>
      <c r="I119" s="673">
        <f>Inputs_Delivery_Effort!U71</f>
        <v>79.200000000000017</v>
      </c>
      <c r="J119" s="673">
        <f>Inputs_Delivery_Effort!V71</f>
        <v>79.200000000000017</v>
      </c>
      <c r="K119" s="673">
        <f>Inputs_Delivery_Effort!W71</f>
        <v>217.80000000000007</v>
      </c>
      <c r="L119" s="673">
        <f>Inputs_Delivery_Effort!X71</f>
        <v>79.200000000000017</v>
      </c>
      <c r="M119" s="673">
        <f>Inputs_Delivery_Effort!Y71</f>
        <v>39.600000000000009</v>
      </c>
      <c r="N119" s="673">
        <f>Inputs_Delivery_Effort!Z71</f>
        <v>0</v>
      </c>
      <c r="O119" s="673">
        <f>Inputs_Delivery_Effort!AA71</f>
        <v>39.600000000000009</v>
      </c>
      <c r="P119" s="263"/>
    </row>
    <row r="120" spans="1:16" x14ac:dyDescent="0.25">
      <c r="A120" s="263"/>
      <c r="B120" s="263"/>
      <c r="C120" s="263" t="s">
        <v>157</v>
      </c>
      <c r="D120" s="263" t="s">
        <v>30</v>
      </c>
      <c r="E120" s="263" t="s">
        <v>50</v>
      </c>
      <c r="F120" s="263" t="s">
        <v>119</v>
      </c>
      <c r="G120" s="677">
        <f>Inputs_Delivery_Effort!S72</f>
        <v>0</v>
      </c>
      <c r="H120" s="677">
        <f>Inputs_Delivery_Effort!T72</f>
        <v>0</v>
      </c>
      <c r="I120" s="677">
        <f>Inputs_Delivery_Effort!U72</f>
        <v>0</v>
      </c>
      <c r="J120" s="677">
        <f>Inputs_Delivery_Effort!V72</f>
        <v>0</v>
      </c>
      <c r="K120" s="677">
        <f>Inputs_Delivery_Effort!W72</f>
        <v>0</v>
      </c>
      <c r="L120" s="677">
        <f>Inputs_Delivery_Effort!X72</f>
        <v>0</v>
      </c>
      <c r="M120" s="677">
        <f>Inputs_Delivery_Effort!Y72</f>
        <v>0</v>
      </c>
      <c r="N120" s="677">
        <f>Inputs_Delivery_Effort!Z72</f>
        <v>0</v>
      </c>
      <c r="O120" s="677">
        <f>Inputs_Delivery_Effort!AA72</f>
        <v>0</v>
      </c>
      <c r="P120" s="263"/>
    </row>
    <row r="121" spans="1:16" x14ac:dyDescent="0.25">
      <c r="A121" s="263"/>
      <c r="B121" s="263"/>
      <c r="C121" s="263" t="s">
        <v>157</v>
      </c>
      <c r="D121" s="263" t="s">
        <v>30</v>
      </c>
      <c r="E121" s="263" t="s">
        <v>43</v>
      </c>
      <c r="F121" s="263"/>
      <c r="G121" s="675">
        <f t="shared" ref="G121:O121" si="26">(G119*IT_Consultant_Daily_Rate)+G120</f>
        <v>39600.000000000007</v>
      </c>
      <c r="H121" s="675">
        <f t="shared" si="26"/>
        <v>59400.000000000007</v>
      </c>
      <c r="I121" s="675">
        <f t="shared" si="26"/>
        <v>39600.000000000007</v>
      </c>
      <c r="J121" s="675">
        <f t="shared" si="26"/>
        <v>39600.000000000007</v>
      </c>
      <c r="K121" s="675">
        <f t="shared" si="26"/>
        <v>108900.00000000003</v>
      </c>
      <c r="L121" s="675">
        <f t="shared" si="26"/>
        <v>39600.000000000007</v>
      </c>
      <c r="M121" s="675">
        <f t="shared" si="26"/>
        <v>19800.000000000004</v>
      </c>
      <c r="N121" s="675">
        <f t="shared" si="26"/>
        <v>0</v>
      </c>
      <c r="O121" s="675">
        <f t="shared" si="26"/>
        <v>19800.000000000004</v>
      </c>
      <c r="P121" s="263"/>
    </row>
    <row r="122" spans="1:16" x14ac:dyDescent="0.25">
      <c r="A122" s="263"/>
      <c r="B122" s="263"/>
      <c r="C122" s="263"/>
      <c r="D122" s="263"/>
      <c r="E122" s="263"/>
      <c r="F122" s="263"/>
      <c r="G122" s="263"/>
      <c r="H122" s="263"/>
      <c r="I122" s="263"/>
      <c r="J122" s="263"/>
      <c r="K122" s="263"/>
      <c r="L122" s="263"/>
      <c r="M122" s="263"/>
      <c r="N122" s="263"/>
      <c r="O122" s="263"/>
      <c r="P122" s="263"/>
    </row>
    <row r="123" spans="1:16" x14ac:dyDescent="0.25">
      <c r="A123" s="263"/>
      <c r="B123" s="263"/>
      <c r="C123" s="263" t="s">
        <v>157</v>
      </c>
      <c r="D123" s="263" t="s">
        <v>49</v>
      </c>
      <c r="E123" s="263" t="s">
        <v>47</v>
      </c>
      <c r="F123" s="263" t="s">
        <v>120</v>
      </c>
      <c r="G123" s="37">
        <f>Inputs_Delivery_Effort!S73</f>
        <v>0.2</v>
      </c>
      <c r="H123" s="37">
        <f>Inputs_Delivery_Effort!T73</f>
        <v>0.2</v>
      </c>
      <c r="I123" s="37">
        <f>Inputs_Delivery_Effort!U73</f>
        <v>0.2</v>
      </c>
      <c r="J123" s="37">
        <f>Inputs_Delivery_Effort!V73</f>
        <v>0.2</v>
      </c>
      <c r="K123" s="37">
        <f>Inputs_Delivery_Effort!W73</f>
        <v>0.2</v>
      </c>
      <c r="L123" s="37">
        <f>Inputs_Delivery_Effort!X73</f>
        <v>0.2</v>
      </c>
      <c r="M123" s="37">
        <f>Inputs_Delivery_Effort!Y73</f>
        <v>0.2</v>
      </c>
      <c r="N123" s="37">
        <f>Inputs_Delivery_Effort!Z73</f>
        <v>0.2</v>
      </c>
      <c r="O123" s="37">
        <f>Inputs_Delivery_Effort!AA73</f>
        <v>0.2</v>
      </c>
      <c r="P123" s="263"/>
    </row>
    <row r="124" spans="1:16" x14ac:dyDescent="0.25">
      <c r="A124" s="263"/>
      <c r="B124" s="263"/>
      <c r="C124" s="263" t="s">
        <v>157</v>
      </c>
      <c r="D124" s="263" t="s">
        <v>30</v>
      </c>
      <c r="E124" s="263" t="s">
        <v>42</v>
      </c>
      <c r="F124" s="263"/>
      <c r="G124" s="675">
        <f t="shared" ref="G124:O124" si="27">(G119*IT_Consultant_Daily_Rate)*G123</f>
        <v>7920.0000000000018</v>
      </c>
      <c r="H124" s="675">
        <f t="shared" si="27"/>
        <v>11880.000000000002</v>
      </c>
      <c r="I124" s="675">
        <f t="shared" si="27"/>
        <v>7920.0000000000018</v>
      </c>
      <c r="J124" s="675">
        <f t="shared" si="27"/>
        <v>7920.0000000000018</v>
      </c>
      <c r="K124" s="675">
        <f t="shared" si="27"/>
        <v>21780.000000000007</v>
      </c>
      <c r="L124" s="675">
        <f t="shared" si="27"/>
        <v>7920.0000000000018</v>
      </c>
      <c r="M124" s="675">
        <f t="shared" si="27"/>
        <v>3960.0000000000009</v>
      </c>
      <c r="N124" s="675">
        <f t="shared" si="27"/>
        <v>0</v>
      </c>
      <c r="O124" s="675">
        <f t="shared" si="27"/>
        <v>3960.0000000000009</v>
      </c>
      <c r="P124" s="263"/>
    </row>
    <row r="125" spans="1:16" x14ac:dyDescent="0.25">
      <c r="A125" s="263"/>
      <c r="B125" s="263"/>
      <c r="C125" s="263"/>
      <c r="D125" s="263"/>
      <c r="E125" s="263"/>
      <c r="F125" s="263"/>
      <c r="G125" s="263"/>
      <c r="H125" s="263"/>
      <c r="I125" s="263"/>
      <c r="J125" s="263"/>
      <c r="K125" s="263"/>
      <c r="L125" s="263"/>
      <c r="M125" s="263"/>
      <c r="N125" s="263"/>
      <c r="O125" s="263"/>
      <c r="P125" s="263"/>
    </row>
    <row r="126" spans="1:16" x14ac:dyDescent="0.25">
      <c r="A126" s="263"/>
      <c r="B126" s="263"/>
      <c r="C126" s="263"/>
      <c r="D126" s="263"/>
      <c r="E126" s="263"/>
      <c r="F126" s="263"/>
      <c r="G126" s="263"/>
      <c r="H126" s="263"/>
      <c r="I126" s="263"/>
      <c r="J126" s="263"/>
      <c r="K126" s="263"/>
      <c r="L126" s="263"/>
      <c r="M126" s="263"/>
      <c r="N126" s="263"/>
      <c r="O126" s="263"/>
      <c r="P126" s="263"/>
    </row>
    <row r="127" spans="1:16" x14ac:dyDescent="0.25">
      <c r="A127" s="263"/>
      <c r="B127" s="263"/>
      <c r="C127" s="263"/>
      <c r="D127" s="263"/>
      <c r="E127" s="263"/>
      <c r="F127" s="263"/>
      <c r="G127" s="263"/>
      <c r="H127" s="263"/>
      <c r="I127" s="263"/>
      <c r="J127" s="263"/>
      <c r="K127" s="263"/>
      <c r="L127" s="263"/>
      <c r="M127" s="263"/>
      <c r="N127" s="263"/>
      <c r="O127" s="263"/>
      <c r="P127" s="263"/>
    </row>
    <row r="128" spans="1:16" x14ac:dyDescent="0.25">
      <c r="A128" s="263"/>
      <c r="B128" s="263"/>
      <c r="C128" s="263"/>
      <c r="D128" s="263"/>
      <c r="E128" s="263"/>
      <c r="F128" s="263"/>
      <c r="G128" s="263"/>
      <c r="H128" s="263"/>
      <c r="I128" s="263"/>
      <c r="J128" s="263"/>
      <c r="K128" s="263"/>
      <c r="L128" s="263"/>
      <c r="M128" s="263"/>
      <c r="N128" s="263"/>
      <c r="O128" s="263"/>
      <c r="P128" s="263"/>
    </row>
    <row r="129" spans="1:16" x14ac:dyDescent="0.25">
      <c r="A129" s="263"/>
      <c r="B129" s="263"/>
      <c r="C129" s="263"/>
      <c r="D129" s="263"/>
      <c r="E129" s="263"/>
      <c r="F129" s="263"/>
      <c r="G129" s="263"/>
      <c r="H129" s="263"/>
      <c r="I129" s="263"/>
      <c r="J129" s="263"/>
      <c r="K129" s="263"/>
      <c r="L129" s="263"/>
      <c r="M129" s="263"/>
      <c r="N129" s="263"/>
      <c r="O129" s="263"/>
      <c r="P129" s="263"/>
    </row>
    <row r="130" spans="1:16" x14ac:dyDescent="0.25">
      <c r="A130" s="263"/>
      <c r="B130" s="263"/>
      <c r="C130" s="263"/>
      <c r="D130" s="263"/>
      <c r="E130" s="263"/>
      <c r="F130" s="263"/>
      <c r="G130" s="263"/>
      <c r="H130" s="263"/>
      <c r="I130" s="263"/>
      <c r="J130" s="263"/>
      <c r="K130" s="263"/>
      <c r="L130" s="263"/>
      <c r="M130" s="263"/>
      <c r="N130" s="263"/>
      <c r="O130" s="263"/>
      <c r="P130" s="263"/>
    </row>
    <row r="131" spans="1:16" x14ac:dyDescent="0.25">
      <c r="A131" s="263"/>
      <c r="B131" s="263"/>
      <c r="C131" s="263"/>
      <c r="D131" s="263"/>
      <c r="E131" s="263"/>
      <c r="F131" s="263"/>
      <c r="G131" s="263"/>
      <c r="H131" s="263"/>
      <c r="I131" s="263"/>
      <c r="J131" s="263"/>
      <c r="K131" s="263"/>
      <c r="L131" s="263"/>
      <c r="M131" s="263"/>
      <c r="N131" s="263"/>
      <c r="O131" s="263"/>
      <c r="P131" s="263"/>
    </row>
    <row r="132" spans="1:16" x14ac:dyDescent="0.25">
      <c r="A132" s="263"/>
      <c r="B132" s="263"/>
      <c r="C132" s="263"/>
      <c r="D132" s="263"/>
      <c r="E132" s="263"/>
      <c r="F132" s="263"/>
      <c r="G132" s="263"/>
      <c r="H132" s="263"/>
      <c r="I132" s="263"/>
      <c r="J132" s="263"/>
      <c r="K132" s="263"/>
      <c r="L132" s="263"/>
      <c r="M132" s="263"/>
      <c r="N132" s="263"/>
      <c r="O132" s="263"/>
      <c r="P132" s="263"/>
    </row>
  </sheetData>
  <mergeCells count="1">
    <mergeCell ref="G4:J4"/>
  </mergeCell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
  <sheetViews>
    <sheetView topLeftCell="A1048576" workbookViewId="0">
      <selection activeCell="D212" sqref="D212"/>
    </sheetView>
  </sheetViews>
  <sheetFormatPr defaultRowHeight="15" customHeight="1" zeroHeight="1" x14ac:dyDescent="0.25"/>
  <sheetData>
    <row r="1" hidden="1"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76"/>
  <sheetViews>
    <sheetView showGridLines="0" topLeftCell="D1" zoomScale="80" zoomScaleNormal="80" workbookViewId="0">
      <pane ySplit="5" topLeftCell="A33" activePane="bottomLeft" state="frozen"/>
      <selection pane="bottomLeft" activeCell="G57" sqref="G57"/>
    </sheetView>
  </sheetViews>
  <sheetFormatPr defaultRowHeight="15" x14ac:dyDescent="0.25"/>
  <cols>
    <col min="1" max="1" width="3.28515625" customWidth="1"/>
    <col min="2" max="2" width="14.28515625" bestFit="1" customWidth="1"/>
    <col min="3" max="3" width="38.28515625" customWidth="1"/>
    <col min="4" max="4" width="8.28515625" bestFit="1" customWidth="1"/>
    <col min="5" max="5" width="14.85546875" bestFit="1" customWidth="1"/>
    <col min="6" max="6" width="52.42578125" bestFit="1" customWidth="1"/>
    <col min="7" max="8" width="13.140625" bestFit="1" customWidth="1"/>
    <col min="9" max="10" width="14.42578125" bestFit="1" customWidth="1"/>
    <col min="11" max="11" width="13.140625" bestFit="1" customWidth="1"/>
    <col min="12" max="12" width="11" bestFit="1" customWidth="1"/>
    <col min="13" max="13" width="11.85546875" bestFit="1" customWidth="1"/>
    <col min="14" max="14" width="11" bestFit="1" customWidth="1"/>
    <col min="15" max="15" width="11.140625" bestFit="1" customWidth="1"/>
  </cols>
  <sheetData>
    <row r="1" spans="1:17" x14ac:dyDescent="0.25">
      <c r="A1" s="117"/>
      <c r="B1" s="117"/>
      <c r="C1" s="44"/>
      <c r="D1" s="44"/>
      <c r="E1" s="44"/>
      <c r="F1" s="118"/>
      <c r="G1" s="263"/>
      <c r="H1" s="263"/>
      <c r="I1" s="263"/>
      <c r="J1" s="263"/>
      <c r="K1" s="263"/>
      <c r="L1" s="263"/>
      <c r="M1" s="263"/>
      <c r="N1" s="263"/>
      <c r="O1" s="263"/>
      <c r="P1" s="263"/>
      <c r="Q1" s="263"/>
    </row>
    <row r="2" spans="1:17" x14ac:dyDescent="0.25">
      <c r="A2" s="117"/>
      <c r="B2" s="117" t="s">
        <v>0</v>
      </c>
      <c r="C2" s="119" t="str">
        <f ca="1">MID(CELL("filename",A1),FIND("]",CELL("filename",A1))+1,256)</f>
        <v>GPL-DCC Process Workings</v>
      </c>
      <c r="D2" s="44"/>
      <c r="E2" s="44"/>
      <c r="F2" s="118"/>
      <c r="G2" s="263"/>
      <c r="H2" s="263"/>
      <c r="I2" s="263"/>
      <c r="J2" s="263"/>
      <c r="K2" s="263"/>
      <c r="L2" s="263"/>
      <c r="M2" s="263"/>
      <c r="N2" s="263"/>
      <c r="O2" s="263"/>
      <c r="P2" s="263"/>
      <c r="Q2" s="263"/>
    </row>
    <row r="3" spans="1:17" x14ac:dyDescent="0.25">
      <c r="A3" s="117"/>
      <c r="B3" s="117" t="s">
        <v>1</v>
      </c>
      <c r="C3" s="118" t="s">
        <v>320</v>
      </c>
      <c r="D3" s="44"/>
      <c r="E3" s="44"/>
      <c r="F3" s="118"/>
      <c r="G3" s="263"/>
      <c r="H3" s="263"/>
      <c r="I3" s="263"/>
      <c r="J3" s="263"/>
      <c r="K3" s="263"/>
      <c r="L3" s="263"/>
      <c r="M3" s="263"/>
      <c r="N3" s="263"/>
      <c r="O3" s="263"/>
      <c r="P3" s="263"/>
      <c r="Q3" s="263"/>
    </row>
    <row r="4" spans="1:17" x14ac:dyDescent="0.25">
      <c r="A4" s="117"/>
      <c r="B4" s="117"/>
      <c r="C4" s="44"/>
      <c r="D4" s="44"/>
      <c r="E4" s="44"/>
      <c r="F4" s="118"/>
      <c r="G4" s="710" t="s">
        <v>83</v>
      </c>
      <c r="H4" s="710"/>
      <c r="I4" s="710"/>
      <c r="J4" s="710"/>
      <c r="K4" s="263"/>
      <c r="L4" s="263"/>
      <c r="M4" s="263"/>
      <c r="N4" s="263"/>
      <c r="O4" s="264"/>
      <c r="P4" s="263"/>
      <c r="Q4" s="263"/>
    </row>
    <row r="5" spans="1:17" x14ac:dyDescent="0.25">
      <c r="A5" s="120"/>
      <c r="B5" s="120" t="s">
        <v>27</v>
      </c>
      <c r="C5" s="121" t="s">
        <v>28</v>
      </c>
      <c r="D5" s="121" t="s">
        <v>29</v>
      </c>
      <c r="E5" s="121" t="s">
        <v>130</v>
      </c>
      <c r="F5" s="122" t="s">
        <v>173</v>
      </c>
      <c r="G5" s="19" t="s">
        <v>59</v>
      </c>
      <c r="H5" s="19" t="s">
        <v>62</v>
      </c>
      <c r="I5" s="19" t="s">
        <v>56</v>
      </c>
      <c r="J5" s="19" t="s">
        <v>72</v>
      </c>
      <c r="K5" s="19" t="s">
        <v>46</v>
      </c>
      <c r="L5" s="19" t="s">
        <v>79</v>
      </c>
      <c r="M5" s="19" t="s">
        <v>82</v>
      </c>
      <c r="N5" s="19" t="s">
        <v>81</v>
      </c>
      <c r="O5" s="19" t="s">
        <v>90</v>
      </c>
      <c r="P5" s="263"/>
      <c r="Q5" s="263"/>
    </row>
    <row r="6" spans="1:17" x14ac:dyDescent="0.25">
      <c r="A6" s="117"/>
      <c r="B6" s="117"/>
      <c r="C6" s="44"/>
      <c r="D6" s="44"/>
      <c r="E6" s="44"/>
      <c r="F6" s="118"/>
      <c r="G6" s="263"/>
      <c r="H6" s="263"/>
      <c r="I6" s="263"/>
      <c r="J6" s="263"/>
      <c r="K6" s="263"/>
      <c r="L6" s="263"/>
      <c r="M6" s="263"/>
      <c r="N6" s="263"/>
      <c r="O6" s="263"/>
      <c r="P6" s="263"/>
      <c r="Q6" s="263"/>
    </row>
    <row r="7" spans="1:17" x14ac:dyDescent="0.25">
      <c r="A7" s="117"/>
      <c r="B7" s="123" t="s">
        <v>174</v>
      </c>
      <c r="C7" s="44" t="s">
        <v>43</v>
      </c>
      <c r="D7" s="44"/>
      <c r="E7" s="44"/>
      <c r="F7" s="118"/>
      <c r="G7" s="130">
        <f>SUMIF($E$11:$E$73,"CAPEX",G11:G73)</f>
        <v>117196.66666666667</v>
      </c>
      <c r="H7" s="130">
        <f t="shared" ref="H7:O7" si="0">SUMIF($E$11:$E$73,"CAPEX",H11:H73)</f>
        <v>119363.33333333334</v>
      </c>
      <c r="I7" s="130">
        <f t="shared" si="0"/>
        <v>117196.66666666667</v>
      </c>
      <c r="J7" s="130">
        <f t="shared" si="0"/>
        <v>117196.66666666667</v>
      </c>
      <c r="K7" s="672">
        <f t="shared" si="0"/>
        <v>0</v>
      </c>
      <c r="L7" s="130">
        <f t="shared" si="0"/>
        <v>0</v>
      </c>
      <c r="M7" s="130">
        <f t="shared" si="0"/>
        <v>105511.64444444445</v>
      </c>
      <c r="N7" s="130">
        <f t="shared" si="0"/>
        <v>11970.248888888889</v>
      </c>
      <c r="O7" s="130">
        <f t="shared" si="0"/>
        <v>34320</v>
      </c>
      <c r="P7" s="263"/>
      <c r="Q7" s="263"/>
    </row>
    <row r="8" spans="1:17" x14ac:dyDescent="0.25">
      <c r="A8" s="117"/>
      <c r="B8" s="117"/>
      <c r="C8" s="44" t="s">
        <v>42</v>
      </c>
      <c r="D8" s="44"/>
      <c r="E8" s="44"/>
      <c r="F8" s="118"/>
      <c r="G8" s="130">
        <f t="shared" ref="G8:O8" si="1">SUMIF($E$11:$E$73,"OPEX",G11:G73)/(1+CAPEX_Factor)</f>
        <v>23439.333333333336</v>
      </c>
      <c r="H8" s="130">
        <f t="shared" si="1"/>
        <v>23872.666666666672</v>
      </c>
      <c r="I8" s="130">
        <f t="shared" si="1"/>
        <v>23439.333333333336</v>
      </c>
      <c r="J8" s="130">
        <f t="shared" si="1"/>
        <v>23439.333333333336</v>
      </c>
      <c r="K8" s="672">
        <f t="shared" si="1"/>
        <v>0</v>
      </c>
      <c r="L8" s="130">
        <f t="shared" si="1"/>
        <v>0</v>
      </c>
      <c r="M8" s="130">
        <f t="shared" si="1"/>
        <v>21102.328888888893</v>
      </c>
      <c r="N8" s="130">
        <f t="shared" si="1"/>
        <v>2394.0497777777778</v>
      </c>
      <c r="O8" s="130">
        <f t="shared" si="1"/>
        <v>6864</v>
      </c>
      <c r="P8" s="263"/>
      <c r="Q8" s="263"/>
    </row>
    <row r="9" spans="1:17" x14ac:dyDescent="0.25">
      <c r="A9" s="117"/>
      <c r="B9" s="124"/>
      <c r="C9" s="125" t="s">
        <v>175</v>
      </c>
      <c r="D9" s="125"/>
      <c r="E9" s="125"/>
      <c r="F9" s="126"/>
      <c r="G9" s="126"/>
      <c r="H9" s="126"/>
      <c r="I9" s="126"/>
      <c r="J9" s="126"/>
      <c r="K9" s="126"/>
      <c r="L9" s="126"/>
      <c r="M9" s="126"/>
      <c r="N9" s="126"/>
      <c r="O9" s="126"/>
      <c r="P9" s="263"/>
      <c r="Q9" s="263"/>
    </row>
    <row r="10" spans="1:17" x14ac:dyDescent="0.25">
      <c r="A10" s="127"/>
      <c r="B10" s="124"/>
      <c r="C10" s="124"/>
      <c r="D10" s="124"/>
      <c r="E10" s="124"/>
      <c r="F10" s="128"/>
      <c r="G10" s="263"/>
      <c r="H10" s="263"/>
      <c r="I10" s="263"/>
      <c r="J10" s="263"/>
      <c r="K10" s="263"/>
      <c r="L10" s="263"/>
      <c r="M10" s="263"/>
      <c r="N10" s="263"/>
      <c r="O10" s="263"/>
      <c r="P10" s="263"/>
      <c r="Q10" s="263"/>
    </row>
    <row r="11" spans="1:17" x14ac:dyDescent="0.25">
      <c r="A11" s="117"/>
      <c r="B11" s="124"/>
      <c r="C11" s="44" t="s">
        <v>175</v>
      </c>
      <c r="D11" s="44" t="s">
        <v>51</v>
      </c>
      <c r="E11" s="44" t="s">
        <v>50</v>
      </c>
      <c r="F11" s="118" t="s">
        <v>214</v>
      </c>
      <c r="G11" s="673">
        <f>Inputs_Delivery_Effort!AG11</f>
        <v>50.160000000000004</v>
      </c>
      <c r="H11" s="673">
        <f>Inputs_Delivery_Effort!AH11</f>
        <v>50.160000000000004</v>
      </c>
      <c r="I11" s="673">
        <f>Inputs_Delivery_Effort!AI11</f>
        <v>50.160000000000004</v>
      </c>
      <c r="J11" s="673">
        <f>Inputs_Delivery_Effort!AJ11</f>
        <v>50.160000000000004</v>
      </c>
      <c r="K11" s="673">
        <f>Inputs_Delivery_Effort!AK11</f>
        <v>0</v>
      </c>
      <c r="L11" s="673">
        <f>Inputs_Delivery_Effort!AL11</f>
        <v>0</v>
      </c>
      <c r="M11" s="673">
        <f>Inputs_Delivery_Effort!AM11</f>
        <v>22.44</v>
      </c>
      <c r="N11" s="673">
        <f>Inputs_Delivery_Effort!AN11</f>
        <v>3.3000000000000003</v>
      </c>
      <c r="O11" s="673">
        <f>Inputs_Delivery_Effort!AO11</f>
        <v>19.14</v>
      </c>
      <c r="P11" s="263"/>
      <c r="Q11" s="263"/>
    </row>
    <row r="12" spans="1:17" x14ac:dyDescent="0.25">
      <c r="A12" s="129"/>
      <c r="B12" s="124"/>
      <c r="C12" s="44" t="s">
        <v>175</v>
      </c>
      <c r="D12" s="44" t="s">
        <v>51</v>
      </c>
      <c r="E12" s="44" t="s">
        <v>50</v>
      </c>
      <c r="F12" s="118" t="s">
        <v>117</v>
      </c>
      <c r="G12" s="674">
        <f>Inputs_Delivery_Effort!AG13</f>
        <v>2.08</v>
      </c>
      <c r="H12" s="674">
        <f>Inputs_Delivery_Effort!AH13</f>
        <v>2.4800000000000004</v>
      </c>
      <c r="I12" s="674">
        <f>Inputs_Delivery_Effort!AI13</f>
        <v>2.08</v>
      </c>
      <c r="J12" s="674">
        <f>Inputs_Delivery_Effort!AJ13</f>
        <v>2.08</v>
      </c>
      <c r="K12" s="674">
        <f>Inputs_Delivery_Effort!AK13</f>
        <v>0</v>
      </c>
      <c r="L12" s="674">
        <f>Inputs_Delivery_Effort!AL13</f>
        <v>0</v>
      </c>
      <c r="M12" s="674">
        <f>Inputs_Delivery_Effort!AM13</f>
        <v>2.08</v>
      </c>
      <c r="N12" s="674">
        <f>Inputs_Delivery_Effort!AN13</f>
        <v>2.08</v>
      </c>
      <c r="O12" s="674">
        <f>Inputs_Delivery_Effort!AO13</f>
        <v>0</v>
      </c>
      <c r="P12" s="263"/>
      <c r="Q12" s="263"/>
    </row>
    <row r="13" spans="1:17" x14ac:dyDescent="0.25">
      <c r="A13" s="117"/>
      <c r="B13" s="124"/>
      <c r="C13" s="44" t="s">
        <v>175</v>
      </c>
      <c r="D13" s="44" t="s">
        <v>48</v>
      </c>
      <c r="E13" s="44" t="s">
        <v>50</v>
      </c>
      <c r="F13" s="118" t="s">
        <v>116</v>
      </c>
      <c r="G13" s="671">
        <f>Inputs_Delivery_Effort!AG14</f>
        <v>0</v>
      </c>
      <c r="H13" s="671">
        <f>Inputs_Delivery_Effort!AH14</f>
        <v>0</v>
      </c>
      <c r="I13" s="671">
        <f>Inputs_Delivery_Effort!AI14</f>
        <v>0</v>
      </c>
      <c r="J13" s="671">
        <f>Inputs_Delivery_Effort!AJ14</f>
        <v>0</v>
      </c>
      <c r="K13" s="671">
        <f>Inputs_Delivery_Effort!AK14</f>
        <v>0</v>
      </c>
      <c r="L13" s="671">
        <f>Inputs_Delivery_Effort!AL14</f>
        <v>0</v>
      </c>
      <c r="M13" s="671">
        <f>Inputs_Delivery_Effort!AM14</f>
        <v>100</v>
      </c>
      <c r="N13" s="671">
        <f>Inputs_Delivery_Effort!AN14</f>
        <v>5</v>
      </c>
      <c r="O13" s="671">
        <f>Inputs_Delivery_Effort!AO14</f>
        <v>0</v>
      </c>
      <c r="P13" s="263"/>
      <c r="Q13" s="263"/>
    </row>
    <row r="14" spans="1:17" x14ac:dyDescent="0.25">
      <c r="A14" s="117"/>
      <c r="B14" s="124"/>
      <c r="C14" s="44" t="s">
        <v>175</v>
      </c>
      <c r="D14" s="44" t="s">
        <v>30</v>
      </c>
      <c r="E14" s="44" t="s">
        <v>50</v>
      </c>
      <c r="F14" s="118" t="s">
        <v>70</v>
      </c>
      <c r="G14" s="112">
        <f>Inputs_CPs!F$11</f>
        <v>142.97777777777776</v>
      </c>
      <c r="H14" s="112">
        <f>Inputs_CPs!G$11</f>
        <v>142.97777777777776</v>
      </c>
      <c r="I14" s="112">
        <f>Inputs_CPs!H$11</f>
        <v>142.97777777777776</v>
      </c>
      <c r="J14" s="112">
        <f>Inputs_CPs!I$11</f>
        <v>142.97777777777776</v>
      </c>
      <c r="K14" s="112">
        <f>Inputs_CPs!N$11</f>
        <v>142.97777777777776</v>
      </c>
      <c r="L14" s="112">
        <f>Inputs_CPs!O$11</f>
        <v>142.97777777777776</v>
      </c>
      <c r="M14" s="112">
        <f>Inputs_CPs!K$11</f>
        <v>142.97777777777776</v>
      </c>
      <c r="N14" s="112">
        <f>Inputs_CPs!L$11</f>
        <v>142.97777777777776</v>
      </c>
      <c r="O14" s="112">
        <f>Inputs_CPs!M$11</f>
        <v>142.97777777777776</v>
      </c>
      <c r="P14" s="263"/>
      <c r="Q14" s="263"/>
    </row>
    <row r="15" spans="1:17" x14ac:dyDescent="0.25">
      <c r="A15" s="117"/>
      <c r="B15" s="124"/>
      <c r="C15" s="44" t="s">
        <v>175</v>
      </c>
      <c r="D15" s="44" t="s">
        <v>30</v>
      </c>
      <c r="E15" s="44" t="s">
        <v>43</v>
      </c>
      <c r="F15" s="118"/>
      <c r="G15" s="675">
        <f t="shared" ref="G15:O15" si="2">(G12*G14*G13)+(G11*IT_Consultant_Daily_Rate)</f>
        <v>25080.000000000004</v>
      </c>
      <c r="H15" s="675">
        <f t="shared" si="2"/>
        <v>25080.000000000004</v>
      </c>
      <c r="I15" s="675">
        <f t="shared" si="2"/>
        <v>25080.000000000004</v>
      </c>
      <c r="J15" s="675">
        <f t="shared" si="2"/>
        <v>25080.000000000004</v>
      </c>
      <c r="K15" s="675">
        <f t="shared" si="2"/>
        <v>0</v>
      </c>
      <c r="L15" s="675">
        <f t="shared" si="2"/>
        <v>0</v>
      </c>
      <c r="M15" s="675">
        <f t="shared" si="2"/>
        <v>40959.377777777772</v>
      </c>
      <c r="N15" s="675">
        <f t="shared" si="2"/>
        <v>3136.9688888888891</v>
      </c>
      <c r="O15" s="675">
        <f t="shared" si="2"/>
        <v>9570</v>
      </c>
      <c r="P15" s="263"/>
      <c r="Q15" s="263"/>
    </row>
    <row r="16" spans="1:17" x14ac:dyDescent="0.25">
      <c r="A16" s="117"/>
      <c r="B16" s="124"/>
      <c r="C16" s="44"/>
      <c r="D16" s="44"/>
      <c r="E16" s="44"/>
      <c r="F16" s="118"/>
      <c r="G16" s="263"/>
      <c r="H16" s="263"/>
      <c r="I16" s="263"/>
      <c r="J16" s="263"/>
      <c r="K16" s="263"/>
      <c r="L16" s="263"/>
      <c r="M16" s="263"/>
      <c r="N16" s="263"/>
      <c r="O16" s="263"/>
      <c r="P16" s="263"/>
      <c r="Q16" s="263"/>
    </row>
    <row r="17" spans="1:17" x14ac:dyDescent="0.25">
      <c r="A17" s="117"/>
      <c r="B17" s="124"/>
      <c r="C17" s="44" t="s">
        <v>175</v>
      </c>
      <c r="D17" s="44" t="s">
        <v>49</v>
      </c>
      <c r="E17" s="44" t="s">
        <v>47</v>
      </c>
      <c r="F17" s="118" t="s">
        <v>118</v>
      </c>
      <c r="G17" s="37">
        <f>Inputs_Delivery_Effort!AG12</f>
        <v>0.2</v>
      </c>
      <c r="H17" s="37">
        <f>Inputs_Delivery_Effort!AH12</f>
        <v>0.2</v>
      </c>
      <c r="I17" s="37">
        <f>Inputs_Delivery_Effort!AI12</f>
        <v>0.2</v>
      </c>
      <c r="J17" s="37">
        <f>Inputs_Delivery_Effort!AJ12</f>
        <v>0.2</v>
      </c>
      <c r="K17" s="37">
        <f>Inputs_Delivery_Effort!AK12</f>
        <v>0.2</v>
      </c>
      <c r="L17" s="37">
        <f>Inputs_Delivery_Effort!AL12</f>
        <v>0.2</v>
      </c>
      <c r="M17" s="37">
        <f>Inputs_Delivery_Effort!AM12</f>
        <v>0.2</v>
      </c>
      <c r="N17" s="37">
        <f>Inputs_Delivery_Effort!AN12</f>
        <v>0.2</v>
      </c>
      <c r="O17" s="37">
        <f>Inputs_Delivery_Effort!AO12</f>
        <v>0.2</v>
      </c>
      <c r="P17" s="263"/>
      <c r="Q17" s="263"/>
    </row>
    <row r="18" spans="1:17" x14ac:dyDescent="0.25">
      <c r="A18" s="117"/>
      <c r="B18" s="124"/>
      <c r="C18" s="44" t="s">
        <v>175</v>
      </c>
      <c r="D18" s="44" t="s">
        <v>30</v>
      </c>
      <c r="E18" s="44" t="s">
        <v>42</v>
      </c>
      <c r="F18" s="118"/>
      <c r="G18" s="675">
        <f>G15*G17</f>
        <v>5016.0000000000009</v>
      </c>
      <c r="H18" s="675">
        <f t="shared" ref="H18:O18" si="3">H15*H17</f>
        <v>5016.0000000000009</v>
      </c>
      <c r="I18" s="675">
        <f t="shared" si="3"/>
        <v>5016.0000000000009</v>
      </c>
      <c r="J18" s="675">
        <f t="shared" si="3"/>
        <v>5016.0000000000009</v>
      </c>
      <c r="K18" s="675">
        <f t="shared" si="3"/>
        <v>0</v>
      </c>
      <c r="L18" s="675">
        <f t="shared" si="3"/>
        <v>0</v>
      </c>
      <c r="M18" s="675">
        <f t="shared" si="3"/>
        <v>8191.8755555555545</v>
      </c>
      <c r="N18" s="675">
        <f t="shared" si="3"/>
        <v>627.39377777777781</v>
      </c>
      <c r="O18" s="675">
        <f t="shared" si="3"/>
        <v>1914</v>
      </c>
      <c r="P18" s="263"/>
      <c r="Q18" s="263"/>
    </row>
    <row r="19" spans="1:17" x14ac:dyDescent="0.25">
      <c r="A19" s="117"/>
      <c r="B19" s="124"/>
      <c r="C19" s="44"/>
      <c r="D19" s="44"/>
      <c r="E19" s="44"/>
      <c r="F19" s="118"/>
      <c r="G19" s="263"/>
      <c r="H19" s="263"/>
      <c r="I19" s="263"/>
      <c r="J19" s="263"/>
      <c r="K19" s="263"/>
      <c r="L19" s="263"/>
      <c r="M19" s="263"/>
      <c r="N19" s="263"/>
      <c r="O19" s="263"/>
      <c r="P19" s="263"/>
      <c r="Q19" s="263"/>
    </row>
    <row r="20" spans="1:17" x14ac:dyDescent="0.25">
      <c r="A20" s="117"/>
      <c r="B20" s="124"/>
      <c r="C20" s="125" t="s">
        <v>149</v>
      </c>
      <c r="D20" s="125"/>
      <c r="E20" s="125"/>
      <c r="F20" s="126"/>
      <c r="G20" s="126"/>
      <c r="H20" s="126"/>
      <c r="I20" s="126"/>
      <c r="J20" s="126"/>
      <c r="K20" s="126"/>
      <c r="L20" s="126"/>
      <c r="M20" s="126"/>
      <c r="N20" s="126"/>
      <c r="O20" s="126"/>
      <c r="P20" s="263"/>
      <c r="Q20" s="263"/>
    </row>
    <row r="21" spans="1:17" x14ac:dyDescent="0.25">
      <c r="A21" s="117"/>
      <c r="B21" s="124"/>
      <c r="C21" s="44"/>
      <c r="D21" s="44"/>
      <c r="E21" s="44"/>
      <c r="F21" s="118" t="str">
        <f>C21&amp;E21</f>
        <v/>
      </c>
      <c r="G21" s="263"/>
      <c r="H21" s="263"/>
      <c r="I21" s="263"/>
      <c r="J21" s="263"/>
      <c r="K21" s="263"/>
      <c r="L21" s="263"/>
      <c r="M21" s="263"/>
      <c r="N21" s="263"/>
      <c r="O21" s="263"/>
      <c r="P21" s="263"/>
      <c r="Q21" s="263"/>
    </row>
    <row r="22" spans="1:17" x14ac:dyDescent="0.25">
      <c r="A22" s="117"/>
      <c r="B22" s="124"/>
      <c r="C22" s="44" t="s">
        <v>149</v>
      </c>
      <c r="D22" s="44" t="s">
        <v>51</v>
      </c>
      <c r="E22" s="44" t="s">
        <v>50</v>
      </c>
      <c r="F22" s="118" t="s">
        <v>214</v>
      </c>
      <c r="G22" s="673">
        <f>Inputs_Delivery_Effort!AG15</f>
        <v>46.2</v>
      </c>
      <c r="H22" s="673">
        <f>Inputs_Delivery_Effort!AH15</f>
        <v>46.2</v>
      </c>
      <c r="I22" s="673">
        <f>Inputs_Delivery_Effort!AI15</f>
        <v>46.2</v>
      </c>
      <c r="J22" s="673">
        <f>Inputs_Delivery_Effort!AJ15</f>
        <v>46.2</v>
      </c>
      <c r="K22" s="673">
        <f>Inputs_Delivery_Effort!AK15</f>
        <v>0</v>
      </c>
      <c r="L22" s="673">
        <f>Inputs_Delivery_Effort!AL15</f>
        <v>0</v>
      </c>
      <c r="M22" s="673">
        <f>Inputs_Delivery_Effort!AM15</f>
        <v>13.860000000000003</v>
      </c>
      <c r="N22" s="673">
        <f>Inputs_Delivery_Effort!AN15</f>
        <v>3.3000000000000003</v>
      </c>
      <c r="O22" s="673">
        <f>Inputs_Delivery_Effort!AO15</f>
        <v>10.560000000000002</v>
      </c>
      <c r="P22" s="263"/>
      <c r="Q22" s="263"/>
    </row>
    <row r="23" spans="1:17" x14ac:dyDescent="0.25">
      <c r="A23" s="129"/>
      <c r="B23" s="124"/>
      <c r="C23" s="44" t="s">
        <v>149</v>
      </c>
      <c r="D23" s="44" t="s">
        <v>51</v>
      </c>
      <c r="E23" s="44" t="s">
        <v>50</v>
      </c>
      <c r="F23" s="118" t="s">
        <v>117</v>
      </c>
      <c r="G23" s="674">
        <f>Inputs_Delivery_Effort!AG17</f>
        <v>0.96000000000000019</v>
      </c>
      <c r="H23" s="674">
        <f>Inputs_Delivery_Effort!AH17</f>
        <v>1.3600000000000003</v>
      </c>
      <c r="I23" s="674">
        <f>Inputs_Delivery_Effort!AI17</f>
        <v>0.96000000000000019</v>
      </c>
      <c r="J23" s="674">
        <f>Inputs_Delivery_Effort!AJ17</f>
        <v>0.96000000000000019</v>
      </c>
      <c r="K23" s="674">
        <f>Inputs_Delivery_Effort!AK17</f>
        <v>0</v>
      </c>
      <c r="L23" s="674">
        <f>Inputs_Delivery_Effort!AL17</f>
        <v>0</v>
      </c>
      <c r="M23" s="674">
        <f>Inputs_Delivery_Effort!AM17</f>
        <v>0.96000000000000019</v>
      </c>
      <c r="N23" s="674">
        <f>Inputs_Delivery_Effort!AN17</f>
        <v>0.96000000000000019</v>
      </c>
      <c r="O23" s="674">
        <f>Inputs_Delivery_Effort!AO17</f>
        <v>0</v>
      </c>
      <c r="P23" s="263"/>
      <c r="Q23" s="263"/>
    </row>
    <row r="24" spans="1:17" x14ac:dyDescent="0.25">
      <c r="A24" s="117"/>
      <c r="B24" s="124"/>
      <c r="C24" s="44" t="s">
        <v>149</v>
      </c>
      <c r="D24" s="44" t="s">
        <v>48</v>
      </c>
      <c r="E24" s="44" t="s">
        <v>50</v>
      </c>
      <c r="F24" s="118" t="s">
        <v>181</v>
      </c>
      <c r="G24" s="671">
        <f>Inputs_Delivery_Effort!AG18</f>
        <v>0</v>
      </c>
      <c r="H24" s="671">
        <f>Inputs_Delivery_Effort!AH18</f>
        <v>0</v>
      </c>
      <c r="I24" s="671">
        <f>Inputs_Delivery_Effort!AI18</f>
        <v>0</v>
      </c>
      <c r="J24" s="671">
        <f>Inputs_Delivery_Effort!AJ18</f>
        <v>0</v>
      </c>
      <c r="K24" s="671">
        <f>Inputs_Delivery_Effort!AK18</f>
        <v>0</v>
      </c>
      <c r="L24" s="671">
        <f>Inputs_Delivery_Effort!AL18</f>
        <v>0</v>
      </c>
      <c r="M24" s="671">
        <f>Inputs_Delivery_Effort!AM18</f>
        <v>100</v>
      </c>
      <c r="N24" s="671">
        <f>Inputs_Delivery_Effort!AN18</f>
        <v>5</v>
      </c>
      <c r="O24" s="671">
        <f>Inputs_Delivery_Effort!AO18</f>
        <v>0</v>
      </c>
      <c r="P24" s="263"/>
      <c r="Q24" s="263"/>
    </row>
    <row r="25" spans="1:17" x14ac:dyDescent="0.25">
      <c r="A25" s="117"/>
      <c r="B25" s="124"/>
      <c r="C25" s="44" t="s">
        <v>149</v>
      </c>
      <c r="D25" s="44" t="s">
        <v>30</v>
      </c>
      <c r="E25" s="44" t="s">
        <v>50</v>
      </c>
      <c r="F25" s="118" t="s">
        <v>70</v>
      </c>
      <c r="G25" s="112">
        <f>Inputs_CPs!F$11</f>
        <v>142.97777777777776</v>
      </c>
      <c r="H25" s="112">
        <f>Inputs_CPs!G$11</f>
        <v>142.97777777777776</v>
      </c>
      <c r="I25" s="112">
        <f>Inputs_CPs!H$11</f>
        <v>142.97777777777776</v>
      </c>
      <c r="J25" s="112">
        <f>Inputs_CPs!I$11</f>
        <v>142.97777777777776</v>
      </c>
      <c r="K25" s="112">
        <f>Inputs_CPs!J$11</f>
        <v>142.97777777777776</v>
      </c>
      <c r="L25" s="112">
        <f>Inputs_CPs!K$11</f>
        <v>142.97777777777776</v>
      </c>
      <c r="M25" s="112">
        <f>Inputs_CPs!L$11</f>
        <v>142.97777777777776</v>
      </c>
      <c r="N25" s="112">
        <f>Inputs_CPs!M$11</f>
        <v>142.97777777777776</v>
      </c>
      <c r="O25" s="112">
        <f>Inputs_CPs!N$11</f>
        <v>142.97777777777776</v>
      </c>
      <c r="P25" s="263"/>
      <c r="Q25" s="263"/>
    </row>
    <row r="26" spans="1:17" x14ac:dyDescent="0.25">
      <c r="A26" s="117"/>
      <c r="B26" s="124"/>
      <c r="C26" s="44" t="s">
        <v>149</v>
      </c>
      <c r="D26" s="44" t="s">
        <v>30</v>
      </c>
      <c r="E26" s="44" t="s">
        <v>43</v>
      </c>
      <c r="F26" s="118"/>
      <c r="G26" s="675">
        <f t="shared" ref="G26:O26" si="4">(G23*G25*G24)+(G22*IT_Consultant_Daily_Rate)</f>
        <v>23100</v>
      </c>
      <c r="H26" s="675">
        <f t="shared" si="4"/>
        <v>23100</v>
      </c>
      <c r="I26" s="675">
        <f t="shared" si="4"/>
        <v>23100</v>
      </c>
      <c r="J26" s="675">
        <f t="shared" si="4"/>
        <v>23100</v>
      </c>
      <c r="K26" s="675">
        <f t="shared" si="4"/>
        <v>0</v>
      </c>
      <c r="L26" s="675">
        <f t="shared" si="4"/>
        <v>0</v>
      </c>
      <c r="M26" s="675">
        <f t="shared" si="4"/>
        <v>20655.866666666669</v>
      </c>
      <c r="N26" s="675">
        <f t="shared" si="4"/>
        <v>2336.2933333333335</v>
      </c>
      <c r="O26" s="675">
        <f t="shared" si="4"/>
        <v>5280.0000000000009</v>
      </c>
      <c r="P26" s="263"/>
      <c r="Q26" s="263"/>
    </row>
    <row r="27" spans="1:17" x14ac:dyDescent="0.25">
      <c r="A27" s="117"/>
      <c r="B27" s="124"/>
      <c r="C27" s="44"/>
      <c r="D27" s="44"/>
      <c r="E27" s="44"/>
      <c r="F27" s="118"/>
      <c r="G27" s="263"/>
      <c r="H27" s="263"/>
      <c r="I27" s="263"/>
      <c r="J27" s="263"/>
      <c r="K27" s="263"/>
      <c r="L27" s="263"/>
      <c r="M27" s="263"/>
      <c r="N27" s="263"/>
      <c r="O27" s="263"/>
      <c r="P27" s="263"/>
      <c r="Q27" s="263"/>
    </row>
    <row r="28" spans="1:17" x14ac:dyDescent="0.25">
      <c r="A28" s="117"/>
      <c r="B28" s="124"/>
      <c r="C28" s="44" t="s">
        <v>149</v>
      </c>
      <c r="D28" s="44" t="s">
        <v>49</v>
      </c>
      <c r="E28" s="44" t="s">
        <v>47</v>
      </c>
      <c r="F28" s="118" t="s">
        <v>118</v>
      </c>
      <c r="G28" s="37">
        <f>Inputs_Delivery_Effort!AG16</f>
        <v>0.2</v>
      </c>
      <c r="H28" s="37">
        <f>Inputs_Delivery_Effort!AH16</f>
        <v>0.2</v>
      </c>
      <c r="I28" s="37">
        <f>Inputs_Delivery_Effort!AI16</f>
        <v>0.2</v>
      </c>
      <c r="J28" s="37">
        <f>Inputs_Delivery_Effort!AJ16</f>
        <v>0.2</v>
      </c>
      <c r="K28" s="37">
        <f>Inputs_Delivery_Effort!AK16</f>
        <v>0.2</v>
      </c>
      <c r="L28" s="37">
        <f>Inputs_Delivery_Effort!AL16</f>
        <v>0.2</v>
      </c>
      <c r="M28" s="37">
        <f>Inputs_Delivery_Effort!AM16</f>
        <v>0.2</v>
      </c>
      <c r="N28" s="37">
        <f>Inputs_Delivery_Effort!AN16</f>
        <v>0.2</v>
      </c>
      <c r="O28" s="37">
        <f>Inputs_Delivery_Effort!AO16</f>
        <v>0.2</v>
      </c>
      <c r="P28" s="263"/>
      <c r="Q28" s="263"/>
    </row>
    <row r="29" spans="1:17" x14ac:dyDescent="0.25">
      <c r="A29" s="117"/>
      <c r="B29" s="124"/>
      <c r="C29" s="44" t="s">
        <v>149</v>
      </c>
      <c r="D29" s="44" t="s">
        <v>30</v>
      </c>
      <c r="E29" s="44" t="s">
        <v>42</v>
      </c>
      <c r="F29" s="118"/>
      <c r="G29" s="675">
        <f>G26*G28</f>
        <v>4620</v>
      </c>
      <c r="H29" s="675">
        <f t="shared" ref="H29" si="5">H26*H28</f>
        <v>4620</v>
      </c>
      <c r="I29" s="675">
        <f t="shared" ref="I29" si="6">I26*I28</f>
        <v>4620</v>
      </c>
      <c r="J29" s="675">
        <f t="shared" ref="J29" si="7">J26*J28</f>
        <v>4620</v>
      </c>
      <c r="K29" s="675">
        <f t="shared" ref="K29" si="8">K26*K28</f>
        <v>0</v>
      </c>
      <c r="L29" s="675">
        <f t="shared" ref="L29" si="9">L26*L28</f>
        <v>0</v>
      </c>
      <c r="M29" s="675">
        <f t="shared" ref="M29" si="10">M26*M28</f>
        <v>4131.1733333333341</v>
      </c>
      <c r="N29" s="675">
        <f t="shared" ref="N29" si="11">N26*N28</f>
        <v>467.25866666666673</v>
      </c>
      <c r="O29" s="675">
        <f t="shared" ref="O29" si="12">O26*O28</f>
        <v>1056.0000000000002</v>
      </c>
      <c r="P29" s="263"/>
      <c r="Q29" s="263"/>
    </row>
    <row r="30" spans="1:17" x14ac:dyDescent="0.25">
      <c r="A30" s="117"/>
      <c r="B30" s="124"/>
      <c r="C30" s="44"/>
      <c r="D30" s="44"/>
      <c r="E30" s="44"/>
      <c r="F30" s="118"/>
      <c r="G30" s="264"/>
      <c r="H30" s="264"/>
      <c r="I30" s="264"/>
      <c r="J30" s="264"/>
      <c r="K30" s="264"/>
      <c r="L30" s="264"/>
      <c r="M30" s="264"/>
      <c r="N30" s="264"/>
      <c r="O30" s="264"/>
      <c r="P30" s="263"/>
      <c r="Q30" s="263"/>
    </row>
    <row r="31" spans="1:17" x14ac:dyDescent="0.25">
      <c r="A31" s="117"/>
      <c r="B31" s="127"/>
      <c r="C31" s="125" t="s">
        <v>150</v>
      </c>
      <c r="D31" s="125"/>
      <c r="E31" s="125"/>
      <c r="F31" s="126"/>
      <c r="G31" s="126"/>
      <c r="H31" s="126"/>
      <c r="I31" s="126"/>
      <c r="J31" s="126"/>
      <c r="K31" s="126"/>
      <c r="L31" s="126"/>
      <c r="M31" s="126"/>
      <c r="N31" s="126"/>
      <c r="O31" s="126"/>
      <c r="P31" s="263"/>
      <c r="Q31" s="263"/>
    </row>
    <row r="32" spans="1:17" x14ac:dyDescent="0.25">
      <c r="A32" s="117"/>
      <c r="B32" s="127"/>
      <c r="C32" s="44"/>
      <c r="D32" s="44"/>
      <c r="E32" s="44"/>
      <c r="F32" s="118"/>
      <c r="G32" s="263"/>
      <c r="H32" s="263"/>
      <c r="I32" s="263"/>
      <c r="J32" s="263"/>
      <c r="K32" s="263"/>
      <c r="L32" s="263"/>
      <c r="M32" s="263"/>
      <c r="N32" s="263"/>
      <c r="O32" s="263"/>
      <c r="P32" s="263"/>
      <c r="Q32" s="263"/>
    </row>
    <row r="33" spans="1:17" x14ac:dyDescent="0.25">
      <c r="A33" s="263"/>
      <c r="B33" s="263"/>
      <c r="C33" s="124" t="s">
        <v>150</v>
      </c>
      <c r="D33" s="44" t="s">
        <v>51</v>
      </c>
      <c r="E33" s="44" t="s">
        <v>50</v>
      </c>
      <c r="F33" s="118" t="s">
        <v>214</v>
      </c>
      <c r="G33" s="673">
        <f>Inputs_Delivery_Effort!AG19</f>
        <v>63.360000000000007</v>
      </c>
      <c r="H33" s="673">
        <f>Inputs_Delivery_Effort!AH19</f>
        <v>63.360000000000007</v>
      </c>
      <c r="I33" s="673">
        <f>Inputs_Delivery_Effort!AI19</f>
        <v>63.360000000000007</v>
      </c>
      <c r="J33" s="673">
        <f>Inputs_Delivery_Effort!AJ19</f>
        <v>63.360000000000007</v>
      </c>
      <c r="K33" s="673">
        <f>Inputs_Delivery_Effort!AK19</f>
        <v>0</v>
      </c>
      <c r="L33" s="673">
        <f>Inputs_Delivery_Effort!AL19</f>
        <v>0</v>
      </c>
      <c r="M33" s="673">
        <f>Inputs_Delivery_Effort!AM19</f>
        <v>31.680000000000003</v>
      </c>
      <c r="N33" s="673">
        <f>Inputs_Delivery_Effort!AN19</f>
        <v>3.3000000000000003</v>
      </c>
      <c r="O33" s="673">
        <f>Inputs_Delivery_Effort!AO19</f>
        <v>28.380000000000003</v>
      </c>
      <c r="P33" s="263"/>
      <c r="Q33" s="263"/>
    </row>
    <row r="34" spans="1:17" x14ac:dyDescent="0.25">
      <c r="A34" s="117"/>
      <c r="B34" s="127"/>
      <c r="C34" s="124" t="s">
        <v>150</v>
      </c>
      <c r="D34" s="44" t="s">
        <v>51</v>
      </c>
      <c r="E34" s="44" t="s">
        <v>50</v>
      </c>
      <c r="F34" s="118" t="s">
        <v>117</v>
      </c>
      <c r="G34" s="674">
        <f>Inputs_Delivery_Effort!AG21</f>
        <v>2.08</v>
      </c>
      <c r="H34" s="674">
        <f>Inputs_Delivery_Effort!AH21</f>
        <v>2.4800000000000004</v>
      </c>
      <c r="I34" s="674">
        <f>Inputs_Delivery_Effort!AI21</f>
        <v>2.08</v>
      </c>
      <c r="J34" s="674">
        <f>Inputs_Delivery_Effort!AJ21</f>
        <v>2.08</v>
      </c>
      <c r="K34" s="674">
        <f>Inputs_Delivery_Effort!AK21</f>
        <v>0</v>
      </c>
      <c r="L34" s="674">
        <f>Inputs_Delivery_Effort!AL21</f>
        <v>0</v>
      </c>
      <c r="M34" s="674">
        <f>Inputs_Delivery_Effort!AM21</f>
        <v>2.08</v>
      </c>
      <c r="N34" s="674">
        <f>Inputs_Delivery_Effort!AN21</f>
        <v>2.08</v>
      </c>
      <c r="O34" s="674">
        <f>Inputs_Delivery_Effort!AO21</f>
        <v>0</v>
      </c>
      <c r="P34" s="263"/>
      <c r="Q34" s="263"/>
    </row>
    <row r="35" spans="1:17" x14ac:dyDescent="0.25">
      <c r="A35" s="263"/>
      <c r="B35" s="263"/>
      <c r="C35" s="124" t="s">
        <v>150</v>
      </c>
      <c r="D35" s="263" t="s">
        <v>48</v>
      </c>
      <c r="E35" s="44" t="s">
        <v>50</v>
      </c>
      <c r="F35" s="263" t="s">
        <v>155</v>
      </c>
      <c r="G35" s="671">
        <f>Inputs_Delivery_Effort!AG22</f>
        <v>15</v>
      </c>
      <c r="H35" s="671">
        <f>Inputs_Delivery_Effort!AH22</f>
        <v>15</v>
      </c>
      <c r="I35" s="671">
        <f>Inputs_Delivery_Effort!AI22</f>
        <v>15</v>
      </c>
      <c r="J35" s="671">
        <f>Inputs_Delivery_Effort!AJ22</f>
        <v>15</v>
      </c>
      <c r="K35" s="671">
        <f>Inputs_Delivery_Effort!AK22</f>
        <v>15</v>
      </c>
      <c r="L35" s="671">
        <f>Inputs_Delivery_Effort!AL22</f>
        <v>15</v>
      </c>
      <c r="M35" s="671">
        <f>Inputs_Delivery_Effort!AM22</f>
        <v>3</v>
      </c>
      <c r="N35" s="671">
        <f>Inputs_Delivery_Effort!AN22</f>
        <v>3</v>
      </c>
      <c r="O35" s="671">
        <f>Inputs_Delivery_Effort!AO22</f>
        <v>3</v>
      </c>
      <c r="P35" s="263"/>
      <c r="Q35" s="263"/>
    </row>
    <row r="36" spans="1:17" x14ac:dyDescent="0.25">
      <c r="A36" s="263"/>
      <c r="B36" s="263"/>
      <c r="C36" s="124" t="s">
        <v>150</v>
      </c>
      <c r="D36" s="263" t="s">
        <v>30</v>
      </c>
      <c r="E36" s="44" t="s">
        <v>50</v>
      </c>
      <c r="F36" s="118" t="s">
        <v>260</v>
      </c>
      <c r="G36" s="112">
        <f>Inputs_CPs!F$12</f>
        <v>361.11111111111109</v>
      </c>
      <c r="H36" s="112">
        <f>Inputs_CPs!G$12</f>
        <v>361.11111111111109</v>
      </c>
      <c r="I36" s="112">
        <f>Inputs_CPs!H$12</f>
        <v>361.11111111111109</v>
      </c>
      <c r="J36" s="112">
        <f>Inputs_CPs!I$12</f>
        <v>361.11111111111109</v>
      </c>
      <c r="K36" s="112">
        <f>Inputs_CPs!N$12</f>
        <v>361.11111111111109</v>
      </c>
      <c r="L36" s="112">
        <f>Inputs_CPs!O$12</f>
        <v>361.11111111111109</v>
      </c>
      <c r="M36" s="112">
        <f>Inputs_CPs!K$12</f>
        <v>361.11111111111109</v>
      </c>
      <c r="N36" s="112">
        <f>Inputs_CPs!L$12</f>
        <v>361.11111111111109</v>
      </c>
      <c r="O36" s="112">
        <f>Inputs_CPs!M$12</f>
        <v>361.11111111111109</v>
      </c>
      <c r="P36" s="263"/>
      <c r="Q36" s="263"/>
    </row>
    <row r="37" spans="1:17" x14ac:dyDescent="0.25">
      <c r="A37" s="263"/>
      <c r="B37" s="263"/>
      <c r="C37" s="124" t="s">
        <v>150</v>
      </c>
      <c r="D37" s="263" t="s">
        <v>30</v>
      </c>
      <c r="E37" s="44" t="s">
        <v>43</v>
      </c>
      <c r="F37" s="263"/>
      <c r="G37" s="675">
        <f t="shared" ref="G37:O37" si="13">(G34*G36*G35)+(G33*IT_Consultant_Daily_Rate)</f>
        <v>42946.666666666672</v>
      </c>
      <c r="H37" s="675">
        <f t="shared" si="13"/>
        <v>45113.333333333343</v>
      </c>
      <c r="I37" s="675">
        <f t="shared" si="13"/>
        <v>42946.666666666672</v>
      </c>
      <c r="J37" s="675">
        <f t="shared" si="13"/>
        <v>42946.666666666672</v>
      </c>
      <c r="K37" s="675">
        <f t="shared" si="13"/>
        <v>0</v>
      </c>
      <c r="L37" s="675">
        <f t="shared" si="13"/>
        <v>0</v>
      </c>
      <c r="M37" s="675">
        <f t="shared" si="13"/>
        <v>18093.333333333336</v>
      </c>
      <c r="N37" s="675">
        <f t="shared" si="13"/>
        <v>3903.333333333333</v>
      </c>
      <c r="O37" s="675">
        <f t="shared" si="13"/>
        <v>14190.000000000002</v>
      </c>
      <c r="P37" s="263"/>
      <c r="Q37" s="263"/>
    </row>
    <row r="38" spans="1:17" x14ac:dyDescent="0.25">
      <c r="A38" s="117"/>
      <c r="B38" s="124"/>
      <c r="C38" s="44"/>
      <c r="D38" s="44"/>
      <c r="E38" s="44"/>
      <c r="F38" s="118"/>
      <c r="G38" s="263"/>
      <c r="H38" s="263"/>
      <c r="I38" s="263"/>
      <c r="J38" s="263"/>
      <c r="K38" s="263"/>
      <c r="L38" s="263"/>
      <c r="M38" s="263"/>
      <c r="N38" s="263"/>
      <c r="O38" s="263"/>
      <c r="P38" s="263"/>
      <c r="Q38" s="263"/>
    </row>
    <row r="39" spans="1:17" x14ac:dyDescent="0.25">
      <c r="A39" s="117"/>
      <c r="B39" s="124"/>
      <c r="C39" s="124" t="s">
        <v>150</v>
      </c>
      <c r="D39" s="44" t="s">
        <v>49</v>
      </c>
      <c r="E39" s="44" t="s">
        <v>47</v>
      </c>
      <c r="F39" s="118" t="s">
        <v>118</v>
      </c>
      <c r="G39" s="37">
        <f>Inputs_Delivery_Effort!AG20</f>
        <v>0.2</v>
      </c>
      <c r="H39" s="37">
        <f>Inputs_Delivery_Effort!AH20</f>
        <v>0.2</v>
      </c>
      <c r="I39" s="37">
        <f>Inputs_Delivery_Effort!AI20</f>
        <v>0.2</v>
      </c>
      <c r="J39" s="37">
        <f>Inputs_Delivery_Effort!AJ20</f>
        <v>0.2</v>
      </c>
      <c r="K39" s="37">
        <f>Inputs_Delivery_Effort!AK20</f>
        <v>0.2</v>
      </c>
      <c r="L39" s="37">
        <f>Inputs_Delivery_Effort!AL20</f>
        <v>0.2</v>
      </c>
      <c r="M39" s="37">
        <f>Inputs_Delivery_Effort!AM20</f>
        <v>0.2</v>
      </c>
      <c r="N39" s="37">
        <f>Inputs_Delivery_Effort!AN20</f>
        <v>0.2</v>
      </c>
      <c r="O39" s="37">
        <f>Inputs_Delivery_Effort!AO20</f>
        <v>0.2</v>
      </c>
      <c r="P39" s="263"/>
      <c r="Q39" s="263"/>
    </row>
    <row r="40" spans="1:17" x14ac:dyDescent="0.25">
      <c r="A40" s="117"/>
      <c r="B40" s="124"/>
      <c r="C40" s="124" t="s">
        <v>150</v>
      </c>
      <c r="D40" s="44" t="s">
        <v>30</v>
      </c>
      <c r="E40" s="44" t="s">
        <v>42</v>
      </c>
      <c r="F40" s="118"/>
      <c r="G40" s="675">
        <f>G37*G39</f>
        <v>8589.3333333333339</v>
      </c>
      <c r="H40" s="675">
        <f t="shared" ref="H40" si="14">H37*H39</f>
        <v>9022.6666666666697</v>
      </c>
      <c r="I40" s="675">
        <f t="shared" ref="I40" si="15">I37*I39</f>
        <v>8589.3333333333339</v>
      </c>
      <c r="J40" s="675">
        <f t="shared" ref="J40" si="16">J37*J39</f>
        <v>8589.3333333333339</v>
      </c>
      <c r="K40" s="675">
        <f t="shared" ref="K40" si="17">K37*K39</f>
        <v>0</v>
      </c>
      <c r="L40" s="675">
        <f t="shared" ref="L40" si="18">L37*L39</f>
        <v>0</v>
      </c>
      <c r="M40" s="675">
        <f t="shared" ref="M40" si="19">M37*M39</f>
        <v>3618.6666666666674</v>
      </c>
      <c r="N40" s="675">
        <f t="shared" ref="N40" si="20">N37*N39</f>
        <v>780.66666666666663</v>
      </c>
      <c r="O40" s="675">
        <f t="shared" ref="O40" si="21">O37*O39</f>
        <v>2838.0000000000005</v>
      </c>
      <c r="P40" s="263"/>
      <c r="Q40" s="263"/>
    </row>
    <row r="41" spans="1:17" x14ac:dyDescent="0.25">
      <c r="A41" s="117"/>
      <c r="B41" s="124"/>
      <c r="C41" s="44"/>
      <c r="D41" s="44"/>
      <c r="E41" s="44"/>
      <c r="F41" s="118"/>
      <c r="G41" s="263"/>
      <c r="H41" s="263"/>
      <c r="I41" s="263"/>
      <c r="J41" s="263"/>
      <c r="K41" s="263"/>
      <c r="L41" s="263"/>
      <c r="M41" s="263"/>
      <c r="N41" s="263"/>
      <c r="O41" s="263"/>
      <c r="P41" s="263"/>
      <c r="Q41" s="263"/>
    </row>
    <row r="42" spans="1:17" x14ac:dyDescent="0.25">
      <c r="A42" s="263"/>
      <c r="B42" s="263"/>
      <c r="C42" s="125" t="s">
        <v>139</v>
      </c>
      <c r="D42" s="125"/>
      <c r="E42" s="125"/>
      <c r="F42" s="126"/>
      <c r="G42" s="126"/>
      <c r="H42" s="126"/>
      <c r="I42" s="126"/>
      <c r="J42" s="126"/>
      <c r="K42" s="126"/>
      <c r="L42" s="126"/>
      <c r="M42" s="126"/>
      <c r="N42" s="126"/>
      <c r="O42" s="126"/>
      <c r="P42" s="263"/>
      <c r="Q42" s="263"/>
    </row>
    <row r="43" spans="1:17" x14ac:dyDescent="0.25">
      <c r="A43" s="263"/>
      <c r="B43" s="263"/>
      <c r="C43" s="263"/>
      <c r="D43" s="263"/>
      <c r="E43" s="263"/>
      <c r="F43" s="263"/>
      <c r="G43" s="263"/>
      <c r="H43" s="263"/>
      <c r="I43" s="263"/>
      <c r="J43" s="263"/>
      <c r="K43" s="263"/>
      <c r="L43" s="263"/>
      <c r="M43" s="263"/>
      <c r="N43" s="263"/>
      <c r="O43" s="263"/>
      <c r="P43" s="263"/>
      <c r="Q43" s="263"/>
    </row>
    <row r="44" spans="1:17" x14ac:dyDescent="0.25">
      <c r="A44" s="263"/>
      <c r="B44" s="263"/>
      <c r="C44" s="263" t="s">
        <v>139</v>
      </c>
      <c r="D44" s="44" t="s">
        <v>51</v>
      </c>
      <c r="E44" s="44" t="s">
        <v>50</v>
      </c>
      <c r="F44" s="118" t="s">
        <v>214</v>
      </c>
      <c r="G44" s="673">
        <f>Inputs_Delivery_Effort!AG23</f>
        <v>46.2</v>
      </c>
      <c r="H44" s="673">
        <f>Inputs_Delivery_Effort!AH23</f>
        <v>46.2</v>
      </c>
      <c r="I44" s="673">
        <f>Inputs_Delivery_Effort!AI23</f>
        <v>46.2</v>
      </c>
      <c r="J44" s="673">
        <f>Inputs_Delivery_Effort!AJ23</f>
        <v>46.2</v>
      </c>
      <c r="K44" s="673">
        <f>Inputs_Delivery_Effort!AK23</f>
        <v>0</v>
      </c>
      <c r="L44" s="673">
        <f>Inputs_Delivery_Effort!AL23</f>
        <v>0</v>
      </c>
      <c r="M44" s="673">
        <f>Inputs_Delivery_Effort!AM23</f>
        <v>13.860000000000003</v>
      </c>
      <c r="N44" s="673">
        <f>Inputs_Delivery_Effort!AN23</f>
        <v>3.3000000000000003</v>
      </c>
      <c r="O44" s="673">
        <f>Inputs_Delivery_Effort!AO23</f>
        <v>10.560000000000002</v>
      </c>
      <c r="P44" s="263"/>
      <c r="Q44" s="263"/>
    </row>
    <row r="45" spans="1:17" x14ac:dyDescent="0.25">
      <c r="A45" s="263"/>
      <c r="B45" s="263"/>
      <c r="C45" s="263" t="s">
        <v>139</v>
      </c>
      <c r="D45" s="263" t="s">
        <v>51</v>
      </c>
      <c r="E45" s="263" t="s">
        <v>50</v>
      </c>
      <c r="F45" s="263" t="s">
        <v>117</v>
      </c>
      <c r="G45" s="674">
        <f>Inputs_Delivery_Effort!AG25</f>
        <v>0.96000000000000019</v>
      </c>
      <c r="H45" s="674">
        <f>Inputs_Delivery_Effort!AH25</f>
        <v>1.3600000000000003</v>
      </c>
      <c r="I45" s="674">
        <f>Inputs_Delivery_Effort!AI25</f>
        <v>0.96000000000000019</v>
      </c>
      <c r="J45" s="674">
        <f>Inputs_Delivery_Effort!AJ25</f>
        <v>0.96000000000000019</v>
      </c>
      <c r="K45" s="674">
        <f>Inputs_Delivery_Effort!AK25</f>
        <v>0</v>
      </c>
      <c r="L45" s="674">
        <f>Inputs_Delivery_Effort!AL25</f>
        <v>0</v>
      </c>
      <c r="M45" s="674">
        <f>Inputs_Delivery_Effort!AM25</f>
        <v>0.96000000000000019</v>
      </c>
      <c r="N45" s="674">
        <f>Inputs_Delivery_Effort!AN25</f>
        <v>0.96000000000000019</v>
      </c>
      <c r="O45" s="674">
        <f>Inputs_Delivery_Effort!AO25</f>
        <v>0</v>
      </c>
      <c r="P45" s="263"/>
      <c r="Q45" s="263"/>
    </row>
    <row r="46" spans="1:17" x14ac:dyDescent="0.25">
      <c r="A46" s="263"/>
      <c r="B46" s="263"/>
      <c r="C46" s="263" t="s">
        <v>139</v>
      </c>
      <c r="D46" s="263" t="s">
        <v>48</v>
      </c>
      <c r="E46" s="263" t="s">
        <v>50</v>
      </c>
      <c r="F46" s="263" t="s">
        <v>153</v>
      </c>
      <c r="G46" s="671">
        <f>Inputs_Delivery_Effort!AG26</f>
        <v>0</v>
      </c>
      <c r="H46" s="671">
        <f>Inputs_Delivery_Effort!AH26</f>
        <v>0</v>
      </c>
      <c r="I46" s="671">
        <f>Inputs_Delivery_Effort!AI26</f>
        <v>0</v>
      </c>
      <c r="J46" s="671">
        <f>Inputs_Delivery_Effort!AJ26</f>
        <v>0</v>
      </c>
      <c r="K46" s="671">
        <f>Inputs_Delivery_Effort!AK26</f>
        <v>0</v>
      </c>
      <c r="L46" s="671">
        <f>Inputs_Delivery_Effort!AL26</f>
        <v>0</v>
      </c>
      <c r="M46" s="671">
        <f>Inputs_Delivery_Effort!AM26</f>
        <v>100</v>
      </c>
      <c r="N46" s="671">
        <f>Inputs_Delivery_Effort!AN26</f>
        <v>5</v>
      </c>
      <c r="O46" s="671">
        <f>Inputs_Delivery_Effort!AO26</f>
        <v>0</v>
      </c>
      <c r="P46" s="263"/>
      <c r="Q46" s="263"/>
    </row>
    <row r="47" spans="1:17" x14ac:dyDescent="0.25">
      <c r="A47" s="263"/>
      <c r="B47" s="263"/>
      <c r="C47" s="263" t="s">
        <v>139</v>
      </c>
      <c r="D47" s="263" t="s">
        <v>30</v>
      </c>
      <c r="E47" s="263" t="s">
        <v>50</v>
      </c>
      <c r="F47" s="118" t="s">
        <v>70</v>
      </c>
      <c r="G47" s="112">
        <f>Inputs_CPs!F$11</f>
        <v>142.97777777777776</v>
      </c>
      <c r="H47" s="112">
        <f>Inputs_CPs!G$11</f>
        <v>142.97777777777776</v>
      </c>
      <c r="I47" s="112">
        <f>Inputs_CPs!H$11</f>
        <v>142.97777777777776</v>
      </c>
      <c r="J47" s="112">
        <f>Inputs_CPs!I$11</f>
        <v>142.97777777777776</v>
      </c>
      <c r="K47" s="112">
        <f>Inputs_CPs!N$11</f>
        <v>142.97777777777776</v>
      </c>
      <c r="L47" s="112">
        <f>Inputs_CPs!O$11</f>
        <v>142.97777777777776</v>
      </c>
      <c r="M47" s="112">
        <f>Inputs_CPs!K$11</f>
        <v>142.97777777777776</v>
      </c>
      <c r="N47" s="112">
        <f>Inputs_CPs!L$11</f>
        <v>142.97777777777776</v>
      </c>
      <c r="O47" s="112">
        <f>Inputs_CPs!M$11</f>
        <v>142.97777777777776</v>
      </c>
      <c r="P47" s="263"/>
      <c r="Q47" s="263"/>
    </row>
    <row r="48" spans="1:17" x14ac:dyDescent="0.25">
      <c r="A48" s="263"/>
      <c r="B48" s="263"/>
      <c r="C48" s="263" t="s">
        <v>139</v>
      </c>
      <c r="D48" s="263" t="s">
        <v>30</v>
      </c>
      <c r="E48" s="263" t="s">
        <v>43</v>
      </c>
      <c r="F48" s="263"/>
      <c r="G48" s="675">
        <f t="shared" ref="G48:O48" si="22">(G45*G47*G46)+(G44*IT_Consultant_Daily_Rate)</f>
        <v>23100</v>
      </c>
      <c r="H48" s="675">
        <f t="shared" si="22"/>
        <v>23100</v>
      </c>
      <c r="I48" s="675">
        <f t="shared" si="22"/>
        <v>23100</v>
      </c>
      <c r="J48" s="675">
        <f t="shared" si="22"/>
        <v>23100</v>
      </c>
      <c r="K48" s="675">
        <f t="shared" si="22"/>
        <v>0</v>
      </c>
      <c r="L48" s="675">
        <f t="shared" si="22"/>
        <v>0</v>
      </c>
      <c r="M48" s="675">
        <f t="shared" si="22"/>
        <v>20655.866666666669</v>
      </c>
      <c r="N48" s="675">
        <f t="shared" si="22"/>
        <v>2336.2933333333335</v>
      </c>
      <c r="O48" s="675">
        <f t="shared" si="22"/>
        <v>5280.0000000000009</v>
      </c>
      <c r="P48" s="263"/>
      <c r="Q48" s="263"/>
    </row>
    <row r="49" spans="1:17" x14ac:dyDescent="0.25">
      <c r="A49" s="117"/>
      <c r="B49" s="124"/>
      <c r="C49" s="44"/>
      <c r="D49" s="44"/>
      <c r="E49" s="44"/>
      <c r="F49" s="118"/>
      <c r="G49" s="263"/>
      <c r="H49" s="263"/>
      <c r="I49" s="263"/>
      <c r="J49" s="263"/>
      <c r="K49" s="263"/>
      <c r="L49" s="263"/>
      <c r="M49" s="263"/>
      <c r="N49" s="263"/>
      <c r="O49" s="263"/>
      <c r="P49" s="263"/>
      <c r="Q49" s="263"/>
    </row>
    <row r="50" spans="1:17" x14ac:dyDescent="0.25">
      <c r="A50" s="117"/>
      <c r="B50" s="124"/>
      <c r="C50" s="263" t="s">
        <v>139</v>
      </c>
      <c r="D50" s="44" t="s">
        <v>49</v>
      </c>
      <c r="E50" s="44" t="s">
        <v>47</v>
      </c>
      <c r="F50" s="118" t="s">
        <v>118</v>
      </c>
      <c r="G50" s="37">
        <f>Inputs_Delivery_Effort!AG24</f>
        <v>0.2</v>
      </c>
      <c r="H50" s="37">
        <f>Inputs_Delivery_Effort!AH24</f>
        <v>0.2</v>
      </c>
      <c r="I50" s="37">
        <f>Inputs_Delivery_Effort!AI24</f>
        <v>0.2</v>
      </c>
      <c r="J50" s="37">
        <f>Inputs_Delivery_Effort!AJ24</f>
        <v>0.2</v>
      </c>
      <c r="K50" s="37">
        <f>Inputs_Delivery_Effort!AK24</f>
        <v>0.2</v>
      </c>
      <c r="L50" s="37">
        <f>Inputs_Delivery_Effort!AL24</f>
        <v>0.2</v>
      </c>
      <c r="M50" s="37">
        <f>Inputs_Delivery_Effort!AM24</f>
        <v>0.2</v>
      </c>
      <c r="N50" s="37">
        <f>Inputs_Delivery_Effort!AN24</f>
        <v>0.2</v>
      </c>
      <c r="O50" s="37">
        <f>Inputs_Delivery_Effort!AO24</f>
        <v>0.2</v>
      </c>
      <c r="P50" s="263"/>
      <c r="Q50" s="263"/>
    </row>
    <row r="51" spans="1:17" x14ac:dyDescent="0.25">
      <c r="A51" s="117"/>
      <c r="B51" s="124"/>
      <c r="C51" s="263" t="s">
        <v>139</v>
      </c>
      <c r="D51" s="44" t="s">
        <v>30</v>
      </c>
      <c r="E51" s="44" t="s">
        <v>42</v>
      </c>
      <c r="F51" s="118"/>
      <c r="G51" s="675">
        <f>G48*G50</f>
        <v>4620</v>
      </c>
      <c r="H51" s="675">
        <f t="shared" ref="H51" si="23">H48*H50</f>
        <v>4620</v>
      </c>
      <c r="I51" s="675">
        <f t="shared" ref="I51" si="24">I48*I50</f>
        <v>4620</v>
      </c>
      <c r="J51" s="675">
        <f t="shared" ref="J51" si="25">J48*J50</f>
        <v>4620</v>
      </c>
      <c r="K51" s="675">
        <f t="shared" ref="K51" si="26">K48*K50</f>
        <v>0</v>
      </c>
      <c r="L51" s="675">
        <f t="shared" ref="L51" si="27">L48*L50</f>
        <v>0</v>
      </c>
      <c r="M51" s="675">
        <f t="shared" ref="M51" si="28">M48*M50</f>
        <v>4131.1733333333341</v>
      </c>
      <c r="N51" s="675">
        <f t="shared" ref="N51" si="29">N48*N50</f>
        <v>467.25866666666673</v>
      </c>
      <c r="O51" s="675">
        <f t="shared" ref="O51" si="30">O48*O50</f>
        <v>1056.0000000000002</v>
      </c>
      <c r="P51" s="263"/>
      <c r="Q51" s="263"/>
    </row>
    <row r="52" spans="1:17" x14ac:dyDescent="0.25">
      <c r="A52" s="263"/>
      <c r="B52" s="263"/>
      <c r="C52" s="263"/>
      <c r="D52" s="263"/>
      <c r="E52" s="263"/>
      <c r="F52" s="263"/>
      <c r="G52" s="263"/>
      <c r="H52" s="263"/>
      <c r="I52" s="263"/>
      <c r="J52" s="263"/>
      <c r="K52" s="263"/>
      <c r="L52" s="263"/>
      <c r="M52" s="263"/>
      <c r="N52" s="263"/>
      <c r="O52" s="263"/>
      <c r="P52" s="263"/>
      <c r="Q52" s="263"/>
    </row>
    <row r="53" spans="1:17" x14ac:dyDescent="0.25">
      <c r="A53" s="263"/>
      <c r="B53" s="263"/>
      <c r="C53" s="125" t="s">
        <v>166</v>
      </c>
      <c r="D53" s="125"/>
      <c r="E53" s="125"/>
      <c r="F53" s="126"/>
      <c r="G53" s="126"/>
      <c r="H53" s="126"/>
      <c r="I53" s="126"/>
      <c r="J53" s="126"/>
      <c r="K53" s="126"/>
      <c r="L53" s="126"/>
      <c r="M53" s="126"/>
      <c r="N53" s="126"/>
      <c r="O53" s="126"/>
      <c r="P53" s="263"/>
      <c r="Q53" s="263"/>
    </row>
    <row r="54" spans="1:17" x14ac:dyDescent="0.25">
      <c r="A54" s="263"/>
      <c r="B54" s="263"/>
      <c r="C54" s="263"/>
      <c r="D54" s="263"/>
      <c r="E54" s="263"/>
      <c r="F54" s="263"/>
      <c r="G54" s="263"/>
      <c r="H54" s="263"/>
      <c r="I54" s="263"/>
      <c r="J54" s="263"/>
      <c r="K54" s="263"/>
      <c r="L54" s="263"/>
      <c r="M54" s="263"/>
      <c r="N54" s="263"/>
      <c r="O54" s="263"/>
      <c r="P54" s="263"/>
      <c r="Q54" s="263"/>
    </row>
    <row r="55" spans="1:17" x14ac:dyDescent="0.25">
      <c r="A55" s="263"/>
      <c r="B55" s="263"/>
      <c r="C55" s="263" t="s">
        <v>166</v>
      </c>
      <c r="D55" s="44" t="s">
        <v>51</v>
      </c>
      <c r="E55" s="44" t="s">
        <v>50</v>
      </c>
      <c r="F55" s="118" t="s">
        <v>214</v>
      </c>
      <c r="G55" s="673">
        <f>Inputs_Delivery_Effort!AG27</f>
        <v>2.6400000000000006</v>
      </c>
      <c r="H55" s="673">
        <f>Inputs_Delivery_Effort!AH27</f>
        <v>2.6400000000000006</v>
      </c>
      <c r="I55" s="673">
        <f>Inputs_Delivery_Effort!AI27</f>
        <v>2.6400000000000006</v>
      </c>
      <c r="J55" s="673">
        <f>Inputs_Delivery_Effort!AJ27</f>
        <v>2.6400000000000006</v>
      </c>
      <c r="K55" s="673">
        <f>Inputs_Delivery_Effort!AK27</f>
        <v>0</v>
      </c>
      <c r="L55" s="673">
        <f>Inputs_Delivery_Effort!AL27</f>
        <v>0</v>
      </c>
      <c r="M55" s="673">
        <f>Inputs_Delivery_Effort!AM27</f>
        <v>0</v>
      </c>
      <c r="N55" s="673">
        <f>Inputs_Delivery_Effort!AN27</f>
        <v>0</v>
      </c>
      <c r="O55" s="673">
        <f>Inputs_Delivery_Effort!AO27</f>
        <v>0</v>
      </c>
      <c r="P55" s="263"/>
      <c r="Q55" s="263"/>
    </row>
    <row r="56" spans="1:17" x14ac:dyDescent="0.25">
      <c r="A56" s="263"/>
      <c r="B56" s="263"/>
      <c r="C56" s="263" t="s">
        <v>166</v>
      </c>
      <c r="D56" s="263" t="s">
        <v>51</v>
      </c>
      <c r="E56" s="263" t="s">
        <v>50</v>
      </c>
      <c r="F56" s="263" t="s">
        <v>117</v>
      </c>
      <c r="G56" s="674">
        <f>Inputs_Delivery_Effort!AG29</f>
        <v>0.16000000000000003</v>
      </c>
      <c r="H56" s="674">
        <f>Inputs_Delivery_Effort!AH29</f>
        <v>0.16000000000000003</v>
      </c>
      <c r="I56" s="674">
        <f>Inputs_Delivery_Effort!AI29</f>
        <v>0.16000000000000003</v>
      </c>
      <c r="J56" s="674">
        <f>Inputs_Delivery_Effort!AJ29</f>
        <v>0.16000000000000003</v>
      </c>
      <c r="K56" s="674">
        <f>Inputs_Delivery_Effort!AK29</f>
        <v>0</v>
      </c>
      <c r="L56" s="674">
        <f>Inputs_Delivery_Effort!AL29</f>
        <v>0</v>
      </c>
      <c r="M56" s="674">
        <f>Inputs_Delivery_Effort!AM29</f>
        <v>0.16000000000000003</v>
      </c>
      <c r="N56" s="674">
        <f>Inputs_Delivery_Effort!AN29</f>
        <v>0.16000000000000003</v>
      </c>
      <c r="O56" s="674">
        <f>Inputs_Delivery_Effort!AO29</f>
        <v>0</v>
      </c>
      <c r="P56" s="263"/>
      <c r="Q56" s="263"/>
    </row>
    <row r="57" spans="1:17" x14ac:dyDescent="0.25">
      <c r="A57" s="263"/>
      <c r="B57" s="263"/>
      <c r="C57" s="263" t="s">
        <v>166</v>
      </c>
      <c r="D57" s="263" t="s">
        <v>48</v>
      </c>
      <c r="E57" s="263" t="s">
        <v>50</v>
      </c>
      <c r="F57" s="263" t="s">
        <v>167</v>
      </c>
      <c r="G57" s="671">
        <f>Inputs_Delivery_Effort!AG30</f>
        <v>0</v>
      </c>
      <c r="H57" s="671">
        <f>Inputs_Delivery_Effort!AH30</f>
        <v>0</v>
      </c>
      <c r="I57" s="671">
        <f>Inputs_Delivery_Effort!AI30</f>
        <v>0</v>
      </c>
      <c r="J57" s="671">
        <f>Inputs_Delivery_Effort!AJ30</f>
        <v>0</v>
      </c>
      <c r="K57" s="671">
        <f>Inputs_Delivery_Effort!AK30</f>
        <v>0</v>
      </c>
      <c r="L57" s="671">
        <f>Inputs_Delivery_Effort!AL30</f>
        <v>0</v>
      </c>
      <c r="M57" s="671">
        <f>Inputs_Delivery_Effort!AM30</f>
        <v>100</v>
      </c>
      <c r="N57" s="671">
        <f>Inputs_Delivery_Effort!AN30</f>
        <v>5</v>
      </c>
      <c r="O57" s="671">
        <f>Inputs_Delivery_Effort!AO30</f>
        <v>0</v>
      </c>
      <c r="P57" s="263"/>
      <c r="Q57" s="263"/>
    </row>
    <row r="58" spans="1:17" x14ac:dyDescent="0.25">
      <c r="A58" s="263"/>
      <c r="B58" s="263"/>
      <c r="C58" s="263" t="s">
        <v>166</v>
      </c>
      <c r="D58" s="263" t="s">
        <v>30</v>
      </c>
      <c r="E58" s="263" t="s">
        <v>50</v>
      </c>
      <c r="F58" s="118" t="s">
        <v>70</v>
      </c>
      <c r="G58" s="112">
        <f>Inputs_CPs!F$11</f>
        <v>142.97777777777776</v>
      </c>
      <c r="H58" s="112">
        <f>Inputs_CPs!G$11</f>
        <v>142.97777777777776</v>
      </c>
      <c r="I58" s="112">
        <f>Inputs_CPs!H$11</f>
        <v>142.97777777777776</v>
      </c>
      <c r="J58" s="112">
        <f>Inputs_CPs!I$11</f>
        <v>142.97777777777776</v>
      </c>
      <c r="K58" s="112">
        <f>Inputs_CPs!N$11</f>
        <v>142.97777777777776</v>
      </c>
      <c r="L58" s="112">
        <f>Inputs_CPs!O$11</f>
        <v>142.97777777777776</v>
      </c>
      <c r="M58" s="112">
        <f>Inputs_CPs!K$11</f>
        <v>142.97777777777776</v>
      </c>
      <c r="N58" s="112">
        <f>Inputs_CPs!L$11</f>
        <v>142.97777777777776</v>
      </c>
      <c r="O58" s="112">
        <f>Inputs_CPs!M$11</f>
        <v>142.97777777777776</v>
      </c>
      <c r="P58" s="263"/>
      <c r="Q58" s="263"/>
    </row>
    <row r="59" spans="1:17" x14ac:dyDescent="0.25">
      <c r="A59" s="263"/>
      <c r="B59" s="263"/>
      <c r="C59" s="263" t="s">
        <v>166</v>
      </c>
      <c r="D59" s="263" t="s">
        <v>30</v>
      </c>
      <c r="E59" s="263" t="s">
        <v>43</v>
      </c>
      <c r="F59" s="263"/>
      <c r="G59" s="675">
        <f t="shared" ref="G59:O59" si="31">(G56*G58*G57)+(G55*IT_Consultant_Daily_Rate)</f>
        <v>1320.0000000000002</v>
      </c>
      <c r="H59" s="675">
        <f t="shared" si="31"/>
        <v>1320.0000000000002</v>
      </c>
      <c r="I59" s="675">
        <f t="shared" si="31"/>
        <v>1320.0000000000002</v>
      </c>
      <c r="J59" s="675">
        <f t="shared" si="31"/>
        <v>1320.0000000000002</v>
      </c>
      <c r="K59" s="675">
        <f t="shared" si="31"/>
        <v>0</v>
      </c>
      <c r="L59" s="675">
        <f t="shared" si="31"/>
        <v>0</v>
      </c>
      <c r="M59" s="675">
        <f t="shared" si="31"/>
        <v>2287.6444444444446</v>
      </c>
      <c r="N59" s="675">
        <f t="shared" si="31"/>
        <v>114.38222222222223</v>
      </c>
      <c r="O59" s="675">
        <f t="shared" si="31"/>
        <v>0</v>
      </c>
      <c r="P59" s="263"/>
      <c r="Q59" s="263"/>
    </row>
    <row r="60" spans="1:17" x14ac:dyDescent="0.25">
      <c r="A60" s="263"/>
      <c r="B60" s="263"/>
      <c r="C60" s="263"/>
      <c r="D60" s="263"/>
      <c r="E60" s="263"/>
      <c r="F60" s="263"/>
      <c r="G60" s="263"/>
      <c r="H60" s="263"/>
      <c r="I60" s="263"/>
      <c r="J60" s="263"/>
      <c r="K60" s="263"/>
      <c r="L60" s="263"/>
      <c r="M60" s="263"/>
      <c r="N60" s="263"/>
      <c r="O60" s="263"/>
      <c r="P60" s="264"/>
      <c r="Q60" s="263"/>
    </row>
    <row r="61" spans="1:17" x14ac:dyDescent="0.25">
      <c r="A61" s="117"/>
      <c r="B61" s="124"/>
      <c r="C61" s="263" t="s">
        <v>166</v>
      </c>
      <c r="D61" s="44" t="s">
        <v>49</v>
      </c>
      <c r="E61" s="44" t="s">
        <v>47</v>
      </c>
      <c r="F61" s="118" t="s">
        <v>118</v>
      </c>
      <c r="G61" s="37">
        <f>Inputs_Delivery_Effort!AG28</f>
        <v>0.2</v>
      </c>
      <c r="H61" s="37">
        <f>Inputs_Delivery_Effort!AH28</f>
        <v>0.2</v>
      </c>
      <c r="I61" s="37">
        <f>Inputs_Delivery_Effort!AI28</f>
        <v>0.2</v>
      </c>
      <c r="J61" s="37">
        <f>Inputs_Delivery_Effort!AJ28</f>
        <v>0.2</v>
      </c>
      <c r="K61" s="37">
        <f>Inputs_Delivery_Effort!AK28</f>
        <v>0.2</v>
      </c>
      <c r="L61" s="37">
        <f>Inputs_Delivery_Effort!AL28</f>
        <v>0.2</v>
      </c>
      <c r="M61" s="37">
        <f>Inputs_Delivery_Effort!AM28</f>
        <v>0.2</v>
      </c>
      <c r="N61" s="37">
        <f>Inputs_Delivery_Effort!AN28</f>
        <v>0.2</v>
      </c>
      <c r="O61" s="37">
        <f>Inputs_Delivery_Effort!AO28</f>
        <v>0.2</v>
      </c>
      <c r="P61" s="263"/>
      <c r="Q61" s="263"/>
    </row>
    <row r="62" spans="1:17" x14ac:dyDescent="0.25">
      <c r="A62" s="117"/>
      <c r="B62" s="124"/>
      <c r="C62" s="263" t="s">
        <v>166</v>
      </c>
      <c r="D62" s="44" t="s">
        <v>30</v>
      </c>
      <c r="E62" s="44" t="s">
        <v>42</v>
      </c>
      <c r="F62" s="118"/>
      <c r="G62" s="675">
        <f>G59*G61</f>
        <v>264.00000000000006</v>
      </c>
      <c r="H62" s="675">
        <f t="shared" ref="H62" si="32">H59*H61</f>
        <v>264.00000000000006</v>
      </c>
      <c r="I62" s="675">
        <f t="shared" ref="I62" si="33">I59*I61</f>
        <v>264.00000000000006</v>
      </c>
      <c r="J62" s="675">
        <f t="shared" ref="J62" si="34">J59*J61</f>
        <v>264.00000000000006</v>
      </c>
      <c r="K62" s="675">
        <f t="shared" ref="K62" si="35">K59*K61</f>
        <v>0</v>
      </c>
      <c r="L62" s="675">
        <f t="shared" ref="L62" si="36">L59*L61</f>
        <v>0</v>
      </c>
      <c r="M62" s="675">
        <f t="shared" ref="M62" si="37">M59*M61</f>
        <v>457.52888888888896</v>
      </c>
      <c r="N62" s="675">
        <f t="shared" ref="N62" si="38">N59*N61</f>
        <v>22.876444444444445</v>
      </c>
      <c r="O62" s="675">
        <f t="shared" ref="O62" si="39">O59*O61</f>
        <v>0</v>
      </c>
      <c r="P62" s="263"/>
      <c r="Q62" s="263"/>
    </row>
    <row r="63" spans="1:17" x14ac:dyDescent="0.25">
      <c r="A63" s="263"/>
      <c r="B63" s="263"/>
      <c r="C63" s="263"/>
      <c r="D63" s="263"/>
      <c r="E63" s="263"/>
      <c r="F63" s="263"/>
      <c r="G63" s="263"/>
      <c r="H63" s="263"/>
      <c r="I63" s="263"/>
      <c r="J63" s="263"/>
      <c r="K63" s="263"/>
      <c r="L63" s="263"/>
      <c r="M63" s="263"/>
      <c r="N63" s="263"/>
      <c r="O63" s="263"/>
      <c r="P63" s="263"/>
      <c r="Q63" s="263"/>
    </row>
    <row r="64" spans="1:17" x14ac:dyDescent="0.25">
      <c r="A64" s="263"/>
      <c r="B64" s="263"/>
      <c r="C64" s="125" t="s">
        <v>168</v>
      </c>
      <c r="D64" s="125"/>
      <c r="E64" s="125"/>
      <c r="F64" s="126"/>
      <c r="G64" s="126"/>
      <c r="H64" s="126"/>
      <c r="I64" s="126"/>
      <c r="J64" s="126"/>
      <c r="K64" s="126"/>
      <c r="L64" s="126"/>
      <c r="M64" s="126"/>
      <c r="N64" s="126"/>
      <c r="O64" s="126"/>
      <c r="P64" s="263"/>
      <c r="Q64" s="263"/>
    </row>
    <row r="65" spans="1:17" x14ac:dyDescent="0.25">
      <c r="A65" s="263"/>
      <c r="B65" s="263"/>
      <c r="C65" s="263"/>
      <c r="D65" s="263"/>
      <c r="E65" s="263"/>
      <c r="F65" s="263"/>
      <c r="G65" s="263"/>
      <c r="H65" s="263"/>
      <c r="I65" s="263"/>
      <c r="J65" s="263"/>
      <c r="K65" s="263"/>
      <c r="L65" s="263"/>
      <c r="M65" s="263"/>
      <c r="N65" s="263"/>
      <c r="O65" s="263"/>
      <c r="P65" s="263"/>
      <c r="Q65" s="263"/>
    </row>
    <row r="66" spans="1:17" x14ac:dyDescent="0.25">
      <c r="A66" s="263"/>
      <c r="B66" s="263"/>
      <c r="C66" s="263" t="s">
        <v>168</v>
      </c>
      <c r="D66" s="44" t="s">
        <v>51</v>
      </c>
      <c r="E66" s="44" t="s">
        <v>50</v>
      </c>
      <c r="F66" s="118" t="s">
        <v>214</v>
      </c>
      <c r="G66" s="673">
        <f>Inputs_Delivery_Effort!AG31</f>
        <v>3.3000000000000003</v>
      </c>
      <c r="H66" s="673">
        <f>Inputs_Delivery_Effort!AH31</f>
        <v>3.3000000000000003</v>
      </c>
      <c r="I66" s="673">
        <f>Inputs_Delivery_Effort!AI31</f>
        <v>3.3000000000000003</v>
      </c>
      <c r="J66" s="673">
        <f>Inputs_Delivery_Effort!AJ31</f>
        <v>3.3000000000000003</v>
      </c>
      <c r="K66" s="673">
        <f>Inputs_Delivery_Effort!AK31</f>
        <v>0</v>
      </c>
      <c r="L66" s="673">
        <f>Inputs_Delivery_Effort!AL31</f>
        <v>0</v>
      </c>
      <c r="M66" s="673">
        <f>Inputs_Delivery_Effort!AM31</f>
        <v>0</v>
      </c>
      <c r="N66" s="673">
        <f>Inputs_Delivery_Effort!AN31</f>
        <v>0</v>
      </c>
      <c r="O66" s="673">
        <f>Inputs_Delivery_Effort!AO31</f>
        <v>0</v>
      </c>
      <c r="P66" s="263"/>
      <c r="Q66" s="263"/>
    </row>
    <row r="67" spans="1:17" x14ac:dyDescent="0.25">
      <c r="A67" s="263"/>
      <c r="B67" s="263"/>
      <c r="C67" s="263" t="s">
        <v>168</v>
      </c>
      <c r="D67" s="263" t="s">
        <v>51</v>
      </c>
      <c r="E67" s="263" t="s">
        <v>50</v>
      </c>
      <c r="F67" s="263" t="s">
        <v>117</v>
      </c>
      <c r="G67" s="674">
        <f>Inputs_Delivery_Effort!AG33</f>
        <v>0.2</v>
      </c>
      <c r="H67" s="674">
        <f>Inputs_Delivery_Effort!AH33</f>
        <v>0.2</v>
      </c>
      <c r="I67" s="674">
        <f>Inputs_Delivery_Effort!AI33</f>
        <v>0.2</v>
      </c>
      <c r="J67" s="674">
        <f>Inputs_Delivery_Effort!AJ33</f>
        <v>0.2</v>
      </c>
      <c r="K67" s="674">
        <f>Inputs_Delivery_Effort!AK33</f>
        <v>0</v>
      </c>
      <c r="L67" s="674">
        <f>Inputs_Delivery_Effort!AL33</f>
        <v>0</v>
      </c>
      <c r="M67" s="674">
        <f>Inputs_Delivery_Effort!AM33</f>
        <v>0.2</v>
      </c>
      <c r="N67" s="674">
        <f>Inputs_Delivery_Effort!AN33</f>
        <v>0.2</v>
      </c>
      <c r="O67" s="674">
        <f>Inputs_Delivery_Effort!AO33</f>
        <v>0</v>
      </c>
      <c r="P67" s="263"/>
      <c r="Q67" s="263"/>
    </row>
    <row r="68" spans="1:17" x14ac:dyDescent="0.25">
      <c r="A68" s="263"/>
      <c r="B68" s="263"/>
      <c r="C68" s="263" t="s">
        <v>168</v>
      </c>
      <c r="D68" s="263" t="s">
        <v>48</v>
      </c>
      <c r="E68" s="263" t="s">
        <v>50</v>
      </c>
      <c r="F68" s="263" t="s">
        <v>182</v>
      </c>
      <c r="G68" s="671">
        <f>Inputs_Delivery_Effort!AG34</f>
        <v>0</v>
      </c>
      <c r="H68" s="671">
        <f>Inputs_Delivery_Effort!AH34</f>
        <v>0</v>
      </c>
      <c r="I68" s="671">
        <f>Inputs_Delivery_Effort!AI34</f>
        <v>0</v>
      </c>
      <c r="J68" s="671">
        <f>Inputs_Delivery_Effort!AJ34</f>
        <v>0</v>
      </c>
      <c r="K68" s="671">
        <f>Inputs_Delivery_Effort!AK34</f>
        <v>0</v>
      </c>
      <c r="L68" s="671">
        <f>Inputs_Delivery_Effort!AL34</f>
        <v>0</v>
      </c>
      <c r="M68" s="671">
        <f>Inputs_Delivery_Effort!AM34</f>
        <v>100</v>
      </c>
      <c r="N68" s="671">
        <f>Inputs_Delivery_Effort!AN34</f>
        <v>5</v>
      </c>
      <c r="O68" s="671">
        <f>Inputs_Delivery_Effort!AO34</f>
        <v>0</v>
      </c>
      <c r="P68" s="263"/>
      <c r="Q68" s="263"/>
    </row>
    <row r="69" spans="1:17" x14ac:dyDescent="0.25">
      <c r="A69" s="263"/>
      <c r="B69" s="263"/>
      <c r="C69" s="263" t="s">
        <v>168</v>
      </c>
      <c r="D69" s="263" t="s">
        <v>30</v>
      </c>
      <c r="E69" s="263" t="s">
        <v>50</v>
      </c>
      <c r="F69" s="118" t="s">
        <v>70</v>
      </c>
      <c r="G69" s="112">
        <f>Inputs_CPs!F$11</f>
        <v>142.97777777777776</v>
      </c>
      <c r="H69" s="112">
        <f>Inputs_CPs!G$11</f>
        <v>142.97777777777776</v>
      </c>
      <c r="I69" s="112">
        <f>Inputs_CPs!H$11</f>
        <v>142.97777777777776</v>
      </c>
      <c r="J69" s="112">
        <f>Inputs_CPs!I$11</f>
        <v>142.97777777777776</v>
      </c>
      <c r="K69" s="112">
        <f>Inputs_CPs!N$11</f>
        <v>142.97777777777776</v>
      </c>
      <c r="L69" s="112">
        <f>Inputs_CPs!O$11</f>
        <v>142.97777777777776</v>
      </c>
      <c r="M69" s="112">
        <f>Inputs_CPs!K$11</f>
        <v>142.97777777777776</v>
      </c>
      <c r="N69" s="112">
        <f>Inputs_CPs!L$11</f>
        <v>142.97777777777776</v>
      </c>
      <c r="O69" s="112">
        <f>Inputs_CPs!M$11</f>
        <v>142.97777777777776</v>
      </c>
      <c r="P69" s="263"/>
      <c r="Q69" s="263"/>
    </row>
    <row r="70" spans="1:17" x14ac:dyDescent="0.25">
      <c r="A70" s="263"/>
      <c r="B70" s="263"/>
      <c r="C70" s="263" t="s">
        <v>168</v>
      </c>
      <c r="D70" s="263" t="s">
        <v>30</v>
      </c>
      <c r="E70" s="263" t="s">
        <v>43</v>
      </c>
      <c r="F70" s="263"/>
      <c r="G70" s="675">
        <f t="shared" ref="G70:O70" si="40">(G67*G69*G68)+(G66*IT_Consultant_Daily_Rate)</f>
        <v>1650.0000000000002</v>
      </c>
      <c r="H70" s="675">
        <f t="shared" si="40"/>
        <v>1650.0000000000002</v>
      </c>
      <c r="I70" s="675">
        <f t="shared" si="40"/>
        <v>1650.0000000000002</v>
      </c>
      <c r="J70" s="675">
        <f t="shared" si="40"/>
        <v>1650.0000000000002</v>
      </c>
      <c r="K70" s="675">
        <f t="shared" si="40"/>
        <v>0</v>
      </c>
      <c r="L70" s="675">
        <f t="shared" si="40"/>
        <v>0</v>
      </c>
      <c r="M70" s="675">
        <f t="shared" si="40"/>
        <v>2859.5555555555552</v>
      </c>
      <c r="N70" s="675">
        <f t="shared" si="40"/>
        <v>142.97777777777776</v>
      </c>
      <c r="O70" s="675">
        <f t="shared" si="40"/>
        <v>0</v>
      </c>
      <c r="P70" s="263"/>
      <c r="Q70" s="263"/>
    </row>
    <row r="71" spans="1:17" x14ac:dyDescent="0.25">
      <c r="A71" s="263"/>
      <c r="B71" s="263"/>
      <c r="C71" s="263"/>
      <c r="D71" s="263"/>
      <c r="E71" s="263"/>
      <c r="F71" s="263"/>
      <c r="G71" s="263"/>
      <c r="H71" s="263"/>
      <c r="I71" s="263"/>
      <c r="J71" s="263"/>
      <c r="K71" s="263"/>
      <c r="L71" s="263"/>
      <c r="M71" s="263"/>
      <c r="N71" s="263"/>
      <c r="O71" s="263"/>
      <c r="P71" s="263"/>
      <c r="Q71" s="263"/>
    </row>
    <row r="72" spans="1:17" x14ac:dyDescent="0.25">
      <c r="A72" s="263"/>
      <c r="B72" s="263"/>
      <c r="C72" s="263" t="s">
        <v>168</v>
      </c>
      <c r="D72" s="44" t="s">
        <v>49</v>
      </c>
      <c r="E72" s="44" t="s">
        <v>47</v>
      </c>
      <c r="F72" s="118" t="s">
        <v>118</v>
      </c>
      <c r="G72" s="37">
        <f>Inputs_Delivery_Effort!AG32</f>
        <v>0.2</v>
      </c>
      <c r="H72" s="37">
        <f>Inputs_Delivery_Effort!AH32</f>
        <v>0.2</v>
      </c>
      <c r="I72" s="37">
        <f>Inputs_Delivery_Effort!AI32</f>
        <v>0.2</v>
      </c>
      <c r="J72" s="37">
        <f>Inputs_Delivery_Effort!AJ32</f>
        <v>0.2</v>
      </c>
      <c r="K72" s="37">
        <f>Inputs_Delivery_Effort!AK32</f>
        <v>0.2</v>
      </c>
      <c r="L72" s="37">
        <f>Inputs_Delivery_Effort!AL32</f>
        <v>0.2</v>
      </c>
      <c r="M72" s="37">
        <f>Inputs_Delivery_Effort!AM32</f>
        <v>0.2</v>
      </c>
      <c r="N72" s="37">
        <f>Inputs_Delivery_Effort!AN32</f>
        <v>0.2</v>
      </c>
      <c r="O72" s="37">
        <f>Inputs_Delivery_Effort!AO32</f>
        <v>0.2</v>
      </c>
      <c r="P72" s="263"/>
      <c r="Q72" s="263"/>
    </row>
    <row r="73" spans="1:17" x14ac:dyDescent="0.25">
      <c r="A73" s="263"/>
      <c r="B73" s="263"/>
      <c r="C73" s="263" t="s">
        <v>168</v>
      </c>
      <c r="D73" s="44" t="s">
        <v>30</v>
      </c>
      <c r="E73" s="44" t="s">
        <v>42</v>
      </c>
      <c r="F73" s="118"/>
      <c r="G73" s="675">
        <f>G70*G72</f>
        <v>330.00000000000006</v>
      </c>
      <c r="H73" s="675">
        <f t="shared" ref="H73" si="41">H70*H72</f>
        <v>330.00000000000006</v>
      </c>
      <c r="I73" s="675">
        <f t="shared" ref="I73" si="42">I70*I72</f>
        <v>330.00000000000006</v>
      </c>
      <c r="J73" s="675">
        <f t="shared" ref="J73" si="43">J70*J72</f>
        <v>330.00000000000006</v>
      </c>
      <c r="K73" s="675">
        <f t="shared" ref="K73" si="44">K70*K72</f>
        <v>0</v>
      </c>
      <c r="L73" s="675">
        <f t="shared" ref="L73" si="45">L70*L72</f>
        <v>0</v>
      </c>
      <c r="M73" s="675">
        <f t="shared" ref="M73" si="46">M70*M72</f>
        <v>571.91111111111104</v>
      </c>
      <c r="N73" s="675">
        <f t="shared" ref="N73" si="47">N70*N72</f>
        <v>28.595555555555553</v>
      </c>
      <c r="O73" s="675">
        <f t="shared" ref="O73" si="48">O70*O72</f>
        <v>0</v>
      </c>
      <c r="P73" s="263"/>
      <c r="Q73" s="263"/>
    </row>
    <row r="74" spans="1:17" x14ac:dyDescent="0.25">
      <c r="A74" s="263"/>
      <c r="B74" s="263"/>
      <c r="C74" s="263"/>
      <c r="D74" s="263"/>
      <c r="E74" s="263"/>
      <c r="F74" s="263"/>
      <c r="G74" s="263"/>
      <c r="H74" s="263"/>
      <c r="I74" s="263"/>
      <c r="J74" s="263"/>
      <c r="K74" s="263"/>
      <c r="L74" s="263"/>
      <c r="M74" s="263"/>
      <c r="N74" s="263"/>
      <c r="O74" s="263"/>
      <c r="P74" s="263"/>
      <c r="Q74" s="263"/>
    </row>
    <row r="75" spans="1:17" x14ac:dyDescent="0.25">
      <c r="A75" s="263"/>
      <c r="B75" s="263"/>
      <c r="C75" s="263"/>
      <c r="D75" s="263"/>
      <c r="E75" s="263"/>
      <c r="F75" s="263"/>
      <c r="G75" s="263"/>
      <c r="H75" s="263"/>
      <c r="I75" s="263"/>
      <c r="J75" s="263"/>
      <c r="K75" s="263"/>
      <c r="L75" s="263"/>
      <c r="M75" s="263"/>
      <c r="N75" s="263"/>
      <c r="O75" s="263"/>
      <c r="P75" s="263"/>
      <c r="Q75" s="263"/>
    </row>
    <row r="76" spans="1:17" x14ac:dyDescent="0.25">
      <c r="A76" s="263"/>
      <c r="B76" s="263"/>
      <c r="C76" s="263"/>
      <c r="D76" s="263"/>
      <c r="E76" s="263"/>
      <c r="F76" s="263"/>
      <c r="G76" s="263"/>
      <c r="H76" s="263"/>
      <c r="I76" s="263"/>
      <c r="J76" s="263"/>
      <c r="K76" s="263"/>
      <c r="L76" s="263"/>
      <c r="M76" s="263"/>
      <c r="N76" s="263"/>
      <c r="O76" s="263"/>
      <c r="P76" s="263"/>
      <c r="Q76" s="263"/>
    </row>
  </sheetData>
  <mergeCells count="1">
    <mergeCell ref="G4:J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127"/>
  <sheetViews>
    <sheetView showGridLines="0" zoomScale="80" zoomScaleNormal="80" workbookViewId="0">
      <pane ySplit="5" topLeftCell="A6" activePane="bottomLeft" state="frozen"/>
      <selection activeCell="R56" sqref="R56"/>
      <selection pane="bottomLeft"/>
    </sheetView>
  </sheetViews>
  <sheetFormatPr defaultRowHeight="15" x14ac:dyDescent="0.25"/>
  <cols>
    <col min="1" max="1" width="3.28515625" customWidth="1"/>
    <col min="2" max="2" width="14.28515625" bestFit="1" customWidth="1"/>
    <col min="3" max="3" width="38.28515625" customWidth="1"/>
    <col min="4" max="4" width="8.28515625" bestFit="1" customWidth="1"/>
    <col min="5" max="5" width="14.85546875" bestFit="1" customWidth="1"/>
    <col min="6" max="6" width="68.5703125" bestFit="1" customWidth="1"/>
  </cols>
  <sheetData>
    <row r="1" spans="1:16" x14ac:dyDescent="0.25">
      <c r="A1" s="117"/>
      <c r="B1" s="117"/>
      <c r="C1" s="44"/>
      <c r="D1" s="44"/>
      <c r="E1" s="44"/>
      <c r="F1" s="118"/>
      <c r="G1" s="263"/>
      <c r="H1" s="263"/>
      <c r="I1" s="263"/>
      <c r="J1" s="263"/>
      <c r="K1" s="263"/>
      <c r="L1" s="263"/>
      <c r="M1" s="263"/>
      <c r="N1" s="263"/>
      <c r="O1" s="263"/>
      <c r="P1" s="263"/>
    </row>
    <row r="2" spans="1:16" x14ac:dyDescent="0.25">
      <c r="A2" s="117"/>
      <c r="B2" s="117" t="s">
        <v>0</v>
      </c>
      <c r="C2" s="119" t="str">
        <f ca="1">MID(CELL("filename",A1),FIND("]",CELL("filename",A1))+1,256)</f>
        <v>GPL-DCC System Workings</v>
      </c>
      <c r="D2" s="44"/>
      <c r="E2" s="44"/>
      <c r="F2" s="118"/>
      <c r="G2" s="263"/>
      <c r="H2" s="263"/>
      <c r="I2" s="263"/>
      <c r="J2" s="263"/>
      <c r="K2" s="263"/>
      <c r="L2" s="263"/>
      <c r="M2" s="263"/>
      <c r="N2" s="263"/>
      <c r="O2" s="263"/>
      <c r="P2" s="263"/>
    </row>
    <row r="3" spans="1:16" x14ac:dyDescent="0.25">
      <c r="A3" s="117"/>
      <c r="B3" s="117" t="s">
        <v>1</v>
      </c>
      <c r="C3" s="118" t="s">
        <v>321</v>
      </c>
      <c r="D3" s="44"/>
      <c r="E3" s="44"/>
      <c r="F3" s="118"/>
      <c r="G3" s="263"/>
      <c r="H3" s="263"/>
      <c r="I3" s="263"/>
      <c r="J3" s="263"/>
      <c r="K3" s="263"/>
      <c r="L3" s="263"/>
      <c r="M3" s="263"/>
      <c r="N3" s="263"/>
      <c r="O3" s="263"/>
      <c r="P3" s="263"/>
    </row>
    <row r="4" spans="1:16" x14ac:dyDescent="0.25">
      <c r="A4" s="117"/>
      <c r="B4" s="117"/>
      <c r="C4" s="44"/>
      <c r="D4" s="44"/>
      <c r="E4" s="44"/>
      <c r="F4" s="118"/>
      <c r="G4" s="710" t="s">
        <v>83</v>
      </c>
      <c r="H4" s="710"/>
      <c r="I4" s="710"/>
      <c r="J4" s="710"/>
      <c r="K4" s="263"/>
      <c r="L4" s="263"/>
      <c r="M4" s="263"/>
      <c r="N4" s="263"/>
      <c r="O4" s="264"/>
      <c r="P4" s="263"/>
    </row>
    <row r="5" spans="1:16" x14ac:dyDescent="0.25">
      <c r="A5" s="120"/>
      <c r="B5" s="120" t="s">
        <v>27</v>
      </c>
      <c r="C5" s="121" t="s">
        <v>28</v>
      </c>
      <c r="D5" s="121" t="s">
        <v>29</v>
      </c>
      <c r="E5" s="121" t="s">
        <v>130</v>
      </c>
      <c r="F5" s="122" t="s">
        <v>173</v>
      </c>
      <c r="G5" s="19" t="s">
        <v>59</v>
      </c>
      <c r="H5" s="19" t="s">
        <v>62</v>
      </c>
      <c r="I5" s="19" t="s">
        <v>56</v>
      </c>
      <c r="J5" s="19" t="s">
        <v>72</v>
      </c>
      <c r="K5" s="19" t="s">
        <v>46</v>
      </c>
      <c r="L5" s="19" t="s">
        <v>79</v>
      </c>
      <c r="M5" s="19" t="s">
        <v>82</v>
      </c>
      <c r="N5" s="19" t="s">
        <v>81</v>
      </c>
      <c r="O5" s="19" t="s">
        <v>90</v>
      </c>
      <c r="P5" s="263"/>
    </row>
    <row r="6" spans="1:16" x14ac:dyDescent="0.25">
      <c r="A6" s="117"/>
      <c r="B6" s="117"/>
      <c r="C6" s="44"/>
      <c r="D6" s="44"/>
      <c r="E6" s="44"/>
      <c r="F6" s="118"/>
      <c r="G6" s="263"/>
      <c r="H6" s="263"/>
      <c r="I6" s="263"/>
      <c r="J6" s="263"/>
      <c r="K6" s="263"/>
      <c r="L6" s="263"/>
      <c r="M6" s="263"/>
      <c r="N6" s="263"/>
      <c r="O6" s="263"/>
      <c r="P6" s="263"/>
    </row>
    <row r="7" spans="1:16" x14ac:dyDescent="0.25">
      <c r="A7" s="117"/>
      <c r="B7" s="123" t="s">
        <v>174</v>
      </c>
      <c r="C7" s="44" t="s">
        <v>43</v>
      </c>
      <c r="D7" s="44"/>
      <c r="E7" s="44"/>
      <c r="F7" s="118"/>
      <c r="G7" s="677">
        <f>SUMIF($E$11:$E$125,"CAPEX",G11:G125)</f>
        <v>394750</v>
      </c>
      <c r="H7" s="677">
        <f>SUMIF($E$11:$E$125,"CAPEX",H11:H125)</f>
        <v>471150</v>
      </c>
      <c r="I7" s="677">
        <f t="shared" ref="I7:N7" si="0">SUMIF($E$11:$E$125,"CAPEX",I11:I125)</f>
        <v>394750</v>
      </c>
      <c r="J7" s="677">
        <f t="shared" si="0"/>
        <v>394750</v>
      </c>
      <c r="K7" s="677">
        <f t="shared" si="0"/>
        <v>0</v>
      </c>
      <c r="L7" s="677">
        <f t="shared" si="0"/>
        <v>0</v>
      </c>
      <c r="M7" s="677">
        <f t="shared" si="0"/>
        <v>197375</v>
      </c>
      <c r="N7" s="677">
        <f t="shared" si="0"/>
        <v>0</v>
      </c>
      <c r="O7" s="677">
        <f>SUMIF($E$11:$E$125,"CAPEX",O11:O125)</f>
        <v>197375</v>
      </c>
      <c r="P7" s="263"/>
    </row>
    <row r="8" spans="1:16" x14ac:dyDescent="0.25">
      <c r="A8" s="117"/>
      <c r="B8" s="117"/>
      <c r="C8" s="44" t="s">
        <v>42</v>
      </c>
      <c r="D8" s="44"/>
      <c r="E8" s="44"/>
      <c r="F8" s="118"/>
      <c r="G8" s="677">
        <f t="shared" ref="G8:O8" si="1">SUMIF($E$11:$E$125,"OPEX",G11:G125)/(1+CAPEX_Factor)</f>
        <v>58121.250000000015</v>
      </c>
      <c r="H8" s="677">
        <f t="shared" si="1"/>
        <v>63401.250000000015</v>
      </c>
      <c r="I8" s="677">
        <f t="shared" si="1"/>
        <v>58121.250000000015</v>
      </c>
      <c r="J8" s="677">
        <f t="shared" si="1"/>
        <v>58121.250000000015</v>
      </c>
      <c r="K8" s="677">
        <f t="shared" si="1"/>
        <v>0</v>
      </c>
      <c r="L8" s="677">
        <f t="shared" si="1"/>
        <v>0</v>
      </c>
      <c r="M8" s="677">
        <f t="shared" si="1"/>
        <v>29060.625000000007</v>
      </c>
      <c r="N8" s="677">
        <f t="shared" si="1"/>
        <v>0</v>
      </c>
      <c r="O8" s="677">
        <f t="shared" si="1"/>
        <v>29060.625000000007</v>
      </c>
      <c r="P8" s="263"/>
    </row>
    <row r="9" spans="1:16" x14ac:dyDescent="0.25">
      <c r="A9" s="117"/>
      <c r="B9" s="124"/>
      <c r="C9" s="125" t="s">
        <v>140</v>
      </c>
      <c r="D9" s="125"/>
      <c r="E9" s="125"/>
      <c r="F9" s="126"/>
      <c r="G9" s="126"/>
      <c r="H9" s="126"/>
      <c r="I9" s="126"/>
      <c r="J9" s="126"/>
      <c r="K9" s="126"/>
      <c r="L9" s="126"/>
      <c r="M9" s="126"/>
      <c r="N9" s="126"/>
      <c r="O9" s="126"/>
      <c r="P9" s="263"/>
    </row>
    <row r="10" spans="1:16" x14ac:dyDescent="0.25">
      <c r="A10" s="127"/>
      <c r="B10" s="124"/>
      <c r="C10" s="124"/>
      <c r="D10" s="124"/>
      <c r="E10" s="124"/>
      <c r="F10" s="128"/>
      <c r="G10" s="263"/>
      <c r="H10" s="263"/>
      <c r="I10" s="263"/>
      <c r="J10" s="263"/>
      <c r="K10" s="263"/>
      <c r="L10" s="263"/>
      <c r="M10" s="263"/>
      <c r="N10" s="263"/>
      <c r="O10" s="263"/>
      <c r="P10" s="263"/>
    </row>
    <row r="11" spans="1:16" x14ac:dyDescent="0.25">
      <c r="A11" s="129"/>
      <c r="B11" s="124"/>
      <c r="C11" s="44" t="s">
        <v>140</v>
      </c>
      <c r="D11" s="44" t="s">
        <v>61</v>
      </c>
      <c r="E11" s="44" t="s">
        <v>50</v>
      </c>
      <c r="F11" s="118" t="s">
        <v>152</v>
      </c>
      <c r="G11" s="673">
        <f>Inputs_Delivery_Effort!AG35</f>
        <v>6.6000000000000005</v>
      </c>
      <c r="H11" s="673">
        <f>Inputs_Delivery_Effort!AH35</f>
        <v>17.160000000000004</v>
      </c>
      <c r="I11" s="673">
        <f>Inputs_Delivery_Effort!AI35</f>
        <v>6.6000000000000005</v>
      </c>
      <c r="J11" s="673">
        <f>Inputs_Delivery_Effort!AJ35</f>
        <v>6.6000000000000005</v>
      </c>
      <c r="K11" s="673">
        <f>Inputs_Delivery_Effort!AK35</f>
        <v>0</v>
      </c>
      <c r="L11" s="673">
        <f>Inputs_Delivery_Effort!AL35</f>
        <v>0</v>
      </c>
      <c r="M11" s="673">
        <f>Inputs_Delivery_Effort!AM35</f>
        <v>3.3000000000000003</v>
      </c>
      <c r="N11" s="673">
        <f>Inputs_Delivery_Effort!AN35</f>
        <v>0</v>
      </c>
      <c r="O11" s="673">
        <f>Inputs_Delivery_Effort!AO35</f>
        <v>3.3000000000000003</v>
      </c>
      <c r="P11" s="263"/>
    </row>
    <row r="12" spans="1:16" x14ac:dyDescent="0.25">
      <c r="A12" s="117"/>
      <c r="B12" s="124"/>
      <c r="C12" s="44" t="s">
        <v>140</v>
      </c>
      <c r="D12" s="44" t="s">
        <v>30</v>
      </c>
      <c r="E12" s="44" t="s">
        <v>50</v>
      </c>
      <c r="F12" s="118" t="s">
        <v>119</v>
      </c>
      <c r="G12" s="677">
        <f>Inputs_Delivery_Effort!AG36</f>
        <v>0</v>
      </c>
      <c r="H12" s="677">
        <f>Inputs_Delivery_Effort!AH36</f>
        <v>10000</v>
      </c>
      <c r="I12" s="677">
        <f>Inputs_Delivery_Effort!AI36</f>
        <v>0</v>
      </c>
      <c r="J12" s="677">
        <f>Inputs_Delivery_Effort!AJ36</f>
        <v>0</v>
      </c>
      <c r="K12" s="677">
        <f>Inputs_Delivery_Effort!AK36</f>
        <v>0</v>
      </c>
      <c r="L12" s="677">
        <f>Inputs_Delivery_Effort!AL36</f>
        <v>0</v>
      </c>
      <c r="M12" s="677">
        <f>Inputs_Delivery_Effort!AM36</f>
        <v>0</v>
      </c>
      <c r="N12" s="677">
        <f>Inputs_Delivery_Effort!AN36</f>
        <v>0</v>
      </c>
      <c r="O12" s="677">
        <f>Inputs_Delivery_Effort!AO36</f>
        <v>0</v>
      </c>
      <c r="P12" s="263"/>
    </row>
    <row r="13" spans="1:16" x14ac:dyDescent="0.25">
      <c r="A13" s="117"/>
      <c r="B13" s="124"/>
      <c r="C13" s="44" t="s">
        <v>140</v>
      </c>
      <c r="D13" s="44" t="s">
        <v>30</v>
      </c>
      <c r="E13" s="44" t="s">
        <v>43</v>
      </c>
      <c r="F13" s="118"/>
      <c r="G13" s="675">
        <f t="shared" ref="G13:O13" si="2">(G11*IT_Consultant_Daily_Rate)+G12</f>
        <v>3300.0000000000005</v>
      </c>
      <c r="H13" s="675">
        <f t="shared" si="2"/>
        <v>18580</v>
      </c>
      <c r="I13" s="675">
        <f t="shared" si="2"/>
        <v>3300.0000000000005</v>
      </c>
      <c r="J13" s="675">
        <f t="shared" si="2"/>
        <v>3300.0000000000005</v>
      </c>
      <c r="K13" s="675">
        <f t="shared" si="2"/>
        <v>0</v>
      </c>
      <c r="L13" s="675">
        <f t="shared" si="2"/>
        <v>0</v>
      </c>
      <c r="M13" s="675">
        <f t="shared" si="2"/>
        <v>1650.0000000000002</v>
      </c>
      <c r="N13" s="675">
        <f t="shared" si="2"/>
        <v>0</v>
      </c>
      <c r="O13" s="675">
        <f t="shared" si="2"/>
        <v>1650.0000000000002</v>
      </c>
      <c r="P13" s="263"/>
    </row>
    <row r="14" spans="1:16" x14ac:dyDescent="0.25">
      <c r="A14" s="117"/>
      <c r="B14" s="124"/>
      <c r="C14" s="44"/>
      <c r="D14" s="44"/>
      <c r="E14" s="44"/>
      <c r="F14" s="118"/>
      <c r="G14" s="263"/>
      <c r="H14" s="263"/>
      <c r="I14" s="263"/>
      <c r="J14" s="263"/>
      <c r="K14" s="263"/>
      <c r="L14" s="263"/>
      <c r="M14" s="263"/>
      <c r="N14" s="263"/>
      <c r="O14" s="263"/>
      <c r="P14" s="263"/>
    </row>
    <row r="15" spans="1:16" x14ac:dyDescent="0.25">
      <c r="A15" s="117"/>
      <c r="B15" s="124"/>
      <c r="C15" s="44" t="s">
        <v>140</v>
      </c>
      <c r="D15" s="44" t="s">
        <v>49</v>
      </c>
      <c r="E15" s="44" t="s">
        <v>47</v>
      </c>
      <c r="F15" s="118" t="s">
        <v>120</v>
      </c>
      <c r="G15" s="37">
        <f>Inputs_Delivery_Effort!AG37</f>
        <v>0.2</v>
      </c>
      <c r="H15" s="37">
        <f>Inputs_Delivery_Effort!AH37</f>
        <v>0.2</v>
      </c>
      <c r="I15" s="37">
        <f>Inputs_Delivery_Effort!AI37</f>
        <v>0.2</v>
      </c>
      <c r="J15" s="37">
        <f>Inputs_Delivery_Effort!AJ37</f>
        <v>0.2</v>
      </c>
      <c r="K15" s="37">
        <f>Inputs_Delivery_Effort!AK37</f>
        <v>0.2</v>
      </c>
      <c r="L15" s="37">
        <f>Inputs_Delivery_Effort!AL37</f>
        <v>0.2</v>
      </c>
      <c r="M15" s="37">
        <f>Inputs_Delivery_Effort!AM37</f>
        <v>0.2</v>
      </c>
      <c r="N15" s="37">
        <f>Inputs_Delivery_Effort!AN37</f>
        <v>0.2</v>
      </c>
      <c r="O15" s="37">
        <f>Inputs_Delivery_Effort!AO37</f>
        <v>0.2</v>
      </c>
      <c r="P15" s="263"/>
    </row>
    <row r="16" spans="1:16" x14ac:dyDescent="0.25">
      <c r="A16" s="117"/>
      <c r="B16" s="124"/>
      <c r="C16" s="44" t="s">
        <v>140</v>
      </c>
      <c r="D16" s="44" t="s">
        <v>30</v>
      </c>
      <c r="E16" s="44" t="s">
        <v>42</v>
      </c>
      <c r="F16" s="118"/>
      <c r="G16" s="675">
        <f t="shared" ref="G16:O16" si="3">(G11*IT_Consultant_Daily_Rate)*G15</f>
        <v>660.00000000000011</v>
      </c>
      <c r="H16" s="675">
        <f t="shared" si="3"/>
        <v>1716.0000000000005</v>
      </c>
      <c r="I16" s="675">
        <f t="shared" si="3"/>
        <v>660.00000000000011</v>
      </c>
      <c r="J16" s="675">
        <f t="shared" si="3"/>
        <v>660.00000000000011</v>
      </c>
      <c r="K16" s="675">
        <f t="shared" si="3"/>
        <v>0</v>
      </c>
      <c r="L16" s="675">
        <f t="shared" si="3"/>
        <v>0</v>
      </c>
      <c r="M16" s="675">
        <f t="shared" si="3"/>
        <v>330.00000000000006</v>
      </c>
      <c r="N16" s="675">
        <f t="shared" si="3"/>
        <v>0</v>
      </c>
      <c r="O16" s="675">
        <f t="shared" si="3"/>
        <v>330.00000000000006</v>
      </c>
      <c r="P16" s="263"/>
    </row>
    <row r="17" spans="1:16" x14ac:dyDescent="0.25">
      <c r="A17" s="263"/>
      <c r="B17" s="263"/>
      <c r="C17" s="263"/>
      <c r="D17" s="263"/>
      <c r="E17" s="263"/>
      <c r="F17" s="263"/>
      <c r="G17" s="263"/>
      <c r="H17" s="263"/>
      <c r="I17" s="263"/>
      <c r="J17" s="263"/>
      <c r="K17" s="263"/>
      <c r="L17" s="263"/>
      <c r="M17" s="263"/>
      <c r="N17" s="263"/>
      <c r="O17" s="263"/>
      <c r="P17" s="263"/>
    </row>
    <row r="18" spans="1:16" x14ac:dyDescent="0.25">
      <c r="A18" s="117"/>
      <c r="B18" s="124"/>
      <c r="C18" s="125" t="s">
        <v>145</v>
      </c>
      <c r="D18" s="125"/>
      <c r="E18" s="125"/>
      <c r="F18" s="126"/>
      <c r="G18" s="126"/>
      <c r="H18" s="126"/>
      <c r="I18" s="126"/>
      <c r="J18" s="126"/>
      <c r="K18" s="126"/>
      <c r="L18" s="126"/>
      <c r="M18" s="126"/>
      <c r="N18" s="126"/>
      <c r="O18" s="126"/>
      <c r="P18" s="263"/>
    </row>
    <row r="19" spans="1:16" x14ac:dyDescent="0.25">
      <c r="A19" s="117"/>
      <c r="B19" s="124"/>
      <c r="C19" s="124"/>
      <c r="D19" s="124"/>
      <c r="E19" s="124"/>
      <c r="F19" s="128"/>
      <c r="G19" s="128"/>
      <c r="H19" s="128"/>
      <c r="I19" s="128"/>
      <c r="J19" s="128"/>
      <c r="K19" s="128"/>
      <c r="L19" s="128"/>
      <c r="M19" s="128"/>
      <c r="N19" s="128"/>
      <c r="O19" s="128"/>
      <c r="P19" s="263"/>
    </row>
    <row r="20" spans="1:16" x14ac:dyDescent="0.25">
      <c r="A20" s="263"/>
      <c r="B20" s="263"/>
      <c r="C20" s="263" t="s">
        <v>145</v>
      </c>
      <c r="D20" s="263" t="s">
        <v>61</v>
      </c>
      <c r="E20" s="263" t="s">
        <v>50</v>
      </c>
      <c r="F20" s="263" t="s">
        <v>152</v>
      </c>
      <c r="G20" s="673">
        <f>Inputs_Delivery_Effort!AG38</f>
        <v>0</v>
      </c>
      <c r="H20" s="673">
        <f>Inputs_Delivery_Effort!AH38</f>
        <v>10.560000000000002</v>
      </c>
      <c r="I20" s="673">
        <f>Inputs_Delivery_Effort!AI38</f>
        <v>0</v>
      </c>
      <c r="J20" s="673">
        <f>Inputs_Delivery_Effort!AJ38</f>
        <v>0</v>
      </c>
      <c r="K20" s="673">
        <f>Inputs_Delivery_Effort!AK38</f>
        <v>0</v>
      </c>
      <c r="L20" s="673">
        <f>Inputs_Delivery_Effort!AL38</f>
        <v>0</v>
      </c>
      <c r="M20" s="673">
        <f>Inputs_Delivery_Effort!AM38</f>
        <v>0</v>
      </c>
      <c r="N20" s="673">
        <f>Inputs_Delivery_Effort!AN38</f>
        <v>0</v>
      </c>
      <c r="O20" s="673">
        <f>Inputs_Delivery_Effort!AO38</f>
        <v>0</v>
      </c>
      <c r="P20" s="263"/>
    </row>
    <row r="21" spans="1:16" x14ac:dyDescent="0.25">
      <c r="A21" s="263"/>
      <c r="B21" s="263"/>
      <c r="C21" s="263" t="s">
        <v>145</v>
      </c>
      <c r="D21" s="263" t="s">
        <v>30</v>
      </c>
      <c r="E21" s="263" t="s">
        <v>50</v>
      </c>
      <c r="F21" s="263" t="s">
        <v>119</v>
      </c>
      <c r="G21" s="677">
        <f>Inputs_Delivery_Effort!AG39</f>
        <v>0</v>
      </c>
      <c r="H21" s="677">
        <f>Inputs_Delivery_Effort!AH39</f>
        <v>10000</v>
      </c>
      <c r="I21" s="677">
        <f>Inputs_Delivery_Effort!AI39</f>
        <v>0</v>
      </c>
      <c r="J21" s="677">
        <f>Inputs_Delivery_Effort!AJ39</f>
        <v>0</v>
      </c>
      <c r="K21" s="677">
        <f>Inputs_Delivery_Effort!AK39</f>
        <v>0</v>
      </c>
      <c r="L21" s="677">
        <f>Inputs_Delivery_Effort!AL39</f>
        <v>0</v>
      </c>
      <c r="M21" s="677">
        <f>Inputs_Delivery_Effort!AM39</f>
        <v>0</v>
      </c>
      <c r="N21" s="677">
        <f>Inputs_Delivery_Effort!AN39</f>
        <v>0</v>
      </c>
      <c r="O21" s="677">
        <f>Inputs_Delivery_Effort!AO39</f>
        <v>0</v>
      </c>
      <c r="P21" s="263"/>
    </row>
    <row r="22" spans="1:16" x14ac:dyDescent="0.25">
      <c r="A22" s="263"/>
      <c r="B22" s="263"/>
      <c r="C22" s="263" t="s">
        <v>145</v>
      </c>
      <c r="D22" s="263" t="s">
        <v>30</v>
      </c>
      <c r="E22" s="263" t="s">
        <v>43</v>
      </c>
      <c r="F22" s="263"/>
      <c r="G22" s="675">
        <f t="shared" ref="G22:O22" si="4">(G20*IT_Consultant_Daily_Rate)+G21</f>
        <v>0</v>
      </c>
      <c r="H22" s="675">
        <f t="shared" si="4"/>
        <v>15280</v>
      </c>
      <c r="I22" s="675">
        <f t="shared" si="4"/>
        <v>0</v>
      </c>
      <c r="J22" s="675">
        <f t="shared" si="4"/>
        <v>0</v>
      </c>
      <c r="K22" s="675">
        <f t="shared" si="4"/>
        <v>0</v>
      </c>
      <c r="L22" s="675">
        <f t="shared" si="4"/>
        <v>0</v>
      </c>
      <c r="M22" s="675">
        <f t="shared" si="4"/>
        <v>0</v>
      </c>
      <c r="N22" s="675">
        <f t="shared" si="4"/>
        <v>0</v>
      </c>
      <c r="O22" s="675">
        <f t="shared" si="4"/>
        <v>0</v>
      </c>
      <c r="P22" s="263"/>
    </row>
    <row r="23" spans="1:16" x14ac:dyDescent="0.25">
      <c r="A23" s="263"/>
      <c r="B23" s="263"/>
      <c r="C23" s="263"/>
      <c r="D23" s="263"/>
      <c r="E23" s="263"/>
      <c r="F23" s="263"/>
      <c r="G23" s="263"/>
      <c r="H23" s="263"/>
      <c r="I23" s="263"/>
      <c r="J23" s="263"/>
      <c r="K23" s="263"/>
      <c r="L23" s="263"/>
      <c r="M23" s="263"/>
      <c r="N23" s="263"/>
      <c r="O23" s="263"/>
      <c r="P23" s="263"/>
    </row>
    <row r="24" spans="1:16" x14ac:dyDescent="0.25">
      <c r="A24" s="263"/>
      <c r="B24" s="263"/>
      <c r="C24" s="263" t="s">
        <v>145</v>
      </c>
      <c r="D24" s="263" t="s">
        <v>49</v>
      </c>
      <c r="E24" s="263" t="s">
        <v>47</v>
      </c>
      <c r="F24" s="263" t="s">
        <v>120</v>
      </c>
      <c r="G24" s="37">
        <f>Inputs_Delivery_Effort!AG40</f>
        <v>0.2</v>
      </c>
      <c r="H24" s="37">
        <f>Inputs_Delivery_Effort!AH40</f>
        <v>0.2</v>
      </c>
      <c r="I24" s="37">
        <f>Inputs_Delivery_Effort!AI40</f>
        <v>0.2</v>
      </c>
      <c r="J24" s="37">
        <f>Inputs_Delivery_Effort!AJ40</f>
        <v>0.2</v>
      </c>
      <c r="K24" s="37">
        <f>Inputs_Delivery_Effort!AK40</f>
        <v>0.2</v>
      </c>
      <c r="L24" s="37">
        <f>Inputs_Delivery_Effort!AL40</f>
        <v>0.2</v>
      </c>
      <c r="M24" s="37">
        <f>Inputs_Delivery_Effort!AM40</f>
        <v>0.2</v>
      </c>
      <c r="N24" s="37">
        <f>Inputs_Delivery_Effort!AN40</f>
        <v>0.2</v>
      </c>
      <c r="O24" s="37">
        <f>Inputs_Delivery_Effort!AO40</f>
        <v>0.2</v>
      </c>
      <c r="P24" s="263"/>
    </row>
    <row r="25" spans="1:16" x14ac:dyDescent="0.25">
      <c r="A25" s="263"/>
      <c r="B25" s="263"/>
      <c r="C25" s="263" t="s">
        <v>145</v>
      </c>
      <c r="D25" s="263" t="s">
        <v>30</v>
      </c>
      <c r="E25" s="263" t="s">
        <v>42</v>
      </c>
      <c r="F25" s="263"/>
      <c r="G25" s="675">
        <f t="shared" ref="G25:O25" si="5">(G20*IT_Consultant_Daily_Rate)*G24</f>
        <v>0</v>
      </c>
      <c r="H25" s="675">
        <f t="shared" si="5"/>
        <v>1056.0000000000002</v>
      </c>
      <c r="I25" s="675">
        <f t="shared" si="5"/>
        <v>0</v>
      </c>
      <c r="J25" s="675">
        <f t="shared" si="5"/>
        <v>0</v>
      </c>
      <c r="K25" s="675">
        <f t="shared" si="5"/>
        <v>0</v>
      </c>
      <c r="L25" s="675">
        <f t="shared" si="5"/>
        <v>0</v>
      </c>
      <c r="M25" s="675">
        <f t="shared" si="5"/>
        <v>0</v>
      </c>
      <c r="N25" s="675">
        <f t="shared" si="5"/>
        <v>0</v>
      </c>
      <c r="O25" s="675">
        <f t="shared" si="5"/>
        <v>0</v>
      </c>
      <c r="P25" s="263"/>
    </row>
    <row r="26" spans="1:16" x14ac:dyDescent="0.25">
      <c r="A26" s="263"/>
      <c r="B26" s="263"/>
      <c r="C26" s="263"/>
      <c r="D26" s="263"/>
      <c r="E26" s="263"/>
      <c r="F26" s="263"/>
      <c r="G26" s="263"/>
      <c r="H26" s="263"/>
      <c r="I26" s="263"/>
      <c r="J26" s="263"/>
      <c r="K26" s="263"/>
      <c r="L26" s="263"/>
      <c r="M26" s="263"/>
      <c r="N26" s="263"/>
      <c r="O26" s="263"/>
      <c r="P26" s="263"/>
    </row>
    <row r="27" spans="1:16" x14ac:dyDescent="0.25">
      <c r="A27" s="117"/>
      <c r="B27" s="124"/>
      <c r="C27" s="125" t="s">
        <v>121</v>
      </c>
      <c r="D27" s="125"/>
      <c r="E27" s="125"/>
      <c r="F27" s="126"/>
      <c r="G27" s="126"/>
      <c r="H27" s="126"/>
      <c r="I27" s="126"/>
      <c r="J27" s="126"/>
      <c r="K27" s="126"/>
      <c r="L27" s="126"/>
      <c r="M27" s="126"/>
      <c r="N27" s="126"/>
      <c r="O27" s="126"/>
      <c r="P27" s="263"/>
    </row>
    <row r="28" spans="1:16" x14ac:dyDescent="0.25">
      <c r="A28" s="117"/>
      <c r="B28" s="124"/>
      <c r="C28" s="124"/>
      <c r="D28" s="124"/>
      <c r="E28" s="124"/>
      <c r="F28" s="128"/>
      <c r="G28" s="128"/>
      <c r="H28" s="128"/>
      <c r="I28" s="128"/>
      <c r="J28" s="128"/>
      <c r="K28" s="128"/>
      <c r="L28" s="128"/>
      <c r="M28" s="128"/>
      <c r="N28" s="128"/>
      <c r="O28" s="128"/>
      <c r="P28" s="263"/>
    </row>
    <row r="29" spans="1:16" x14ac:dyDescent="0.25">
      <c r="A29" s="263"/>
      <c r="B29" s="263"/>
      <c r="C29" s="263" t="s">
        <v>121</v>
      </c>
      <c r="D29" s="263" t="s">
        <v>61</v>
      </c>
      <c r="E29" s="263" t="s">
        <v>50</v>
      </c>
      <c r="F29" s="263" t="s">
        <v>152</v>
      </c>
      <c r="G29" s="673">
        <f>Inputs_Delivery_Effort!AG41</f>
        <v>85.8</v>
      </c>
      <c r="H29" s="673">
        <f>Inputs_Delivery_Effort!AH41</f>
        <v>96.36</v>
      </c>
      <c r="I29" s="673">
        <f>Inputs_Delivery_Effort!AI41</f>
        <v>85.8</v>
      </c>
      <c r="J29" s="673">
        <f>Inputs_Delivery_Effort!AJ41</f>
        <v>85.8</v>
      </c>
      <c r="K29" s="673">
        <f>Inputs_Delivery_Effort!AK41</f>
        <v>0</v>
      </c>
      <c r="L29" s="673">
        <f>Inputs_Delivery_Effort!AL41</f>
        <v>0</v>
      </c>
      <c r="M29" s="673">
        <f>Inputs_Delivery_Effort!AM41</f>
        <v>42.9</v>
      </c>
      <c r="N29" s="673">
        <f>Inputs_Delivery_Effort!AN41</f>
        <v>0</v>
      </c>
      <c r="O29" s="673">
        <f>Inputs_Delivery_Effort!AO41</f>
        <v>42.9</v>
      </c>
      <c r="P29" s="263"/>
    </row>
    <row r="30" spans="1:16" x14ac:dyDescent="0.25">
      <c r="A30" s="263"/>
      <c r="B30" s="263"/>
      <c r="C30" s="263" t="s">
        <v>121</v>
      </c>
      <c r="D30" s="263" t="s">
        <v>30</v>
      </c>
      <c r="E30" s="263" t="s">
        <v>50</v>
      </c>
      <c r="F30" s="263" t="s">
        <v>119</v>
      </c>
      <c r="G30" s="677">
        <f>Inputs_Delivery_Effort!AG42</f>
        <v>0</v>
      </c>
      <c r="H30" s="677">
        <f>Inputs_Delivery_Effort!AH42</f>
        <v>10000</v>
      </c>
      <c r="I30" s="677">
        <f>Inputs_Delivery_Effort!AI42</f>
        <v>0</v>
      </c>
      <c r="J30" s="677">
        <f>Inputs_Delivery_Effort!AJ42</f>
        <v>0</v>
      </c>
      <c r="K30" s="677">
        <f>Inputs_Delivery_Effort!AK42</f>
        <v>0</v>
      </c>
      <c r="L30" s="677">
        <f>Inputs_Delivery_Effort!AL42</f>
        <v>0</v>
      </c>
      <c r="M30" s="677">
        <f>Inputs_Delivery_Effort!AM42</f>
        <v>0</v>
      </c>
      <c r="N30" s="677">
        <f>Inputs_Delivery_Effort!AN42</f>
        <v>0</v>
      </c>
      <c r="O30" s="677">
        <f>Inputs_Delivery_Effort!AO42</f>
        <v>0</v>
      </c>
      <c r="P30" s="263"/>
    </row>
    <row r="31" spans="1:16" x14ac:dyDescent="0.25">
      <c r="A31" s="263"/>
      <c r="B31" s="263"/>
      <c r="C31" s="263" t="s">
        <v>121</v>
      </c>
      <c r="D31" s="263" t="s">
        <v>30</v>
      </c>
      <c r="E31" s="263" t="s">
        <v>43</v>
      </c>
      <c r="F31" s="263"/>
      <c r="G31" s="675">
        <f t="shared" ref="G31:O31" si="6">(G29*IT_Consultant_Daily_Rate)+G30</f>
        <v>42900</v>
      </c>
      <c r="H31" s="675">
        <f t="shared" si="6"/>
        <v>58180</v>
      </c>
      <c r="I31" s="675">
        <f t="shared" si="6"/>
        <v>42900</v>
      </c>
      <c r="J31" s="675">
        <f t="shared" si="6"/>
        <v>42900</v>
      </c>
      <c r="K31" s="675">
        <f t="shared" si="6"/>
        <v>0</v>
      </c>
      <c r="L31" s="675">
        <f t="shared" si="6"/>
        <v>0</v>
      </c>
      <c r="M31" s="675">
        <f t="shared" si="6"/>
        <v>21450</v>
      </c>
      <c r="N31" s="675">
        <f t="shared" si="6"/>
        <v>0</v>
      </c>
      <c r="O31" s="675">
        <f t="shared" si="6"/>
        <v>21450</v>
      </c>
      <c r="P31" s="263"/>
    </row>
    <row r="32" spans="1:16" x14ac:dyDescent="0.25">
      <c r="A32" s="263"/>
      <c r="B32" s="263"/>
      <c r="C32" s="263"/>
      <c r="D32" s="263"/>
      <c r="E32" s="263"/>
      <c r="F32" s="263"/>
      <c r="G32" s="263"/>
      <c r="H32" s="263"/>
      <c r="I32" s="263"/>
      <c r="J32" s="263"/>
      <c r="K32" s="263"/>
      <c r="L32" s="263"/>
      <c r="M32" s="263"/>
      <c r="N32" s="263"/>
      <c r="O32" s="263"/>
      <c r="P32" s="263"/>
    </row>
    <row r="33" spans="1:16" x14ac:dyDescent="0.25">
      <c r="A33" s="263"/>
      <c r="B33" s="263"/>
      <c r="C33" s="263" t="s">
        <v>121</v>
      </c>
      <c r="D33" s="263" t="s">
        <v>49</v>
      </c>
      <c r="E33" s="263" t="s">
        <v>47</v>
      </c>
      <c r="F33" s="263" t="s">
        <v>120</v>
      </c>
      <c r="G33" s="37">
        <f>Inputs_Delivery_Effort!AG43</f>
        <v>0.2</v>
      </c>
      <c r="H33" s="37">
        <f>Inputs_Delivery_Effort!AH43</f>
        <v>0.2</v>
      </c>
      <c r="I33" s="37">
        <f>Inputs_Delivery_Effort!AI43</f>
        <v>0.2</v>
      </c>
      <c r="J33" s="37">
        <f>Inputs_Delivery_Effort!AJ43</f>
        <v>0.2</v>
      </c>
      <c r="K33" s="37">
        <f>Inputs_Delivery_Effort!AK43</f>
        <v>0.2</v>
      </c>
      <c r="L33" s="37">
        <f>Inputs_Delivery_Effort!AL43</f>
        <v>0.2</v>
      </c>
      <c r="M33" s="37">
        <f>Inputs_Delivery_Effort!AM43</f>
        <v>0.2</v>
      </c>
      <c r="N33" s="37">
        <f>Inputs_Delivery_Effort!AN43</f>
        <v>0.2</v>
      </c>
      <c r="O33" s="37">
        <f>Inputs_Delivery_Effort!AO43</f>
        <v>0.2</v>
      </c>
      <c r="P33" s="263"/>
    </row>
    <row r="34" spans="1:16" x14ac:dyDescent="0.25">
      <c r="A34" s="263"/>
      <c r="B34" s="263"/>
      <c r="C34" s="263" t="s">
        <v>121</v>
      </c>
      <c r="D34" s="263" t="s">
        <v>30</v>
      </c>
      <c r="E34" s="263" t="s">
        <v>42</v>
      </c>
      <c r="F34" s="263"/>
      <c r="G34" s="675">
        <f t="shared" ref="G34:O34" si="7">(G29*IT_Consultant_Daily_Rate)*G33</f>
        <v>8580</v>
      </c>
      <c r="H34" s="675">
        <f t="shared" si="7"/>
        <v>9636</v>
      </c>
      <c r="I34" s="675">
        <f t="shared" si="7"/>
        <v>8580</v>
      </c>
      <c r="J34" s="675">
        <f t="shared" si="7"/>
        <v>8580</v>
      </c>
      <c r="K34" s="675">
        <f t="shared" si="7"/>
        <v>0</v>
      </c>
      <c r="L34" s="675">
        <f t="shared" si="7"/>
        <v>0</v>
      </c>
      <c r="M34" s="675">
        <f t="shared" si="7"/>
        <v>4290</v>
      </c>
      <c r="N34" s="675">
        <f t="shared" si="7"/>
        <v>0</v>
      </c>
      <c r="O34" s="675">
        <f t="shared" si="7"/>
        <v>4290</v>
      </c>
      <c r="P34" s="263"/>
    </row>
    <row r="35" spans="1:16" x14ac:dyDescent="0.25">
      <c r="A35" s="263"/>
      <c r="B35" s="263"/>
      <c r="C35" s="263"/>
      <c r="D35" s="263"/>
      <c r="E35" s="263"/>
      <c r="F35" s="263"/>
      <c r="G35" s="263"/>
      <c r="H35" s="263"/>
      <c r="I35" s="263"/>
      <c r="J35" s="263"/>
      <c r="K35" s="263"/>
      <c r="L35" s="263"/>
      <c r="M35" s="263"/>
      <c r="N35" s="263"/>
      <c r="O35" s="263"/>
      <c r="P35" s="263"/>
    </row>
    <row r="36" spans="1:16" x14ac:dyDescent="0.25">
      <c r="A36" s="117"/>
      <c r="B36" s="124"/>
      <c r="C36" s="125" t="s">
        <v>146</v>
      </c>
      <c r="D36" s="125"/>
      <c r="E36" s="125"/>
      <c r="F36" s="126"/>
      <c r="G36" s="126"/>
      <c r="H36" s="126"/>
      <c r="I36" s="126"/>
      <c r="J36" s="126"/>
      <c r="K36" s="126"/>
      <c r="L36" s="126"/>
      <c r="M36" s="126"/>
      <c r="N36" s="126"/>
      <c r="O36" s="126"/>
      <c r="P36" s="263"/>
    </row>
    <row r="37" spans="1:16" x14ac:dyDescent="0.25">
      <c r="A37" s="117"/>
      <c r="B37" s="124"/>
      <c r="C37" s="124"/>
      <c r="D37" s="124"/>
      <c r="E37" s="124"/>
      <c r="F37" s="128"/>
      <c r="G37" s="128"/>
      <c r="H37" s="128"/>
      <c r="I37" s="128"/>
      <c r="J37" s="128"/>
      <c r="K37" s="128"/>
      <c r="L37" s="128"/>
      <c r="M37" s="128"/>
      <c r="N37" s="128"/>
      <c r="O37" s="128"/>
      <c r="P37" s="263"/>
    </row>
    <row r="38" spans="1:16" x14ac:dyDescent="0.25">
      <c r="A38" s="263"/>
      <c r="B38" s="263"/>
      <c r="C38" s="263" t="s">
        <v>146</v>
      </c>
      <c r="D38" s="263" t="s">
        <v>61</v>
      </c>
      <c r="E38" s="263" t="s">
        <v>50</v>
      </c>
      <c r="F38" s="263" t="s">
        <v>152</v>
      </c>
      <c r="G38" s="673">
        <f>Inputs_Delivery_Effort!AG44</f>
        <v>19.8</v>
      </c>
      <c r="H38" s="673">
        <f>Inputs_Delivery_Effort!AH44</f>
        <v>30.360000000000003</v>
      </c>
      <c r="I38" s="673">
        <f>Inputs_Delivery_Effort!AI44</f>
        <v>19.8</v>
      </c>
      <c r="J38" s="673">
        <f>Inputs_Delivery_Effort!AJ44</f>
        <v>19.8</v>
      </c>
      <c r="K38" s="673">
        <f>Inputs_Delivery_Effort!AK44</f>
        <v>0</v>
      </c>
      <c r="L38" s="673">
        <f>Inputs_Delivery_Effort!AL44</f>
        <v>0</v>
      </c>
      <c r="M38" s="673">
        <f>Inputs_Delivery_Effort!AM44</f>
        <v>9.9</v>
      </c>
      <c r="N38" s="673">
        <f>Inputs_Delivery_Effort!AN44</f>
        <v>0</v>
      </c>
      <c r="O38" s="673">
        <f>Inputs_Delivery_Effort!AO44</f>
        <v>9.9</v>
      </c>
      <c r="P38" s="263"/>
    </row>
    <row r="39" spans="1:16" x14ac:dyDescent="0.25">
      <c r="A39" s="263"/>
      <c r="B39" s="263"/>
      <c r="C39" s="263" t="s">
        <v>146</v>
      </c>
      <c r="D39" s="263" t="s">
        <v>30</v>
      </c>
      <c r="E39" s="263" t="s">
        <v>50</v>
      </c>
      <c r="F39" s="263" t="s">
        <v>119</v>
      </c>
      <c r="G39" s="677">
        <f>Inputs_Delivery_Effort!AG45</f>
        <v>0</v>
      </c>
      <c r="H39" s="677">
        <f>Inputs_Delivery_Effort!AH45</f>
        <v>10000</v>
      </c>
      <c r="I39" s="677">
        <f>Inputs_Delivery_Effort!AI45</f>
        <v>0</v>
      </c>
      <c r="J39" s="677">
        <f>Inputs_Delivery_Effort!AJ45</f>
        <v>0</v>
      </c>
      <c r="K39" s="677">
        <f>Inputs_Delivery_Effort!AK45</f>
        <v>0</v>
      </c>
      <c r="L39" s="677">
        <f>Inputs_Delivery_Effort!AL45</f>
        <v>0</v>
      </c>
      <c r="M39" s="677">
        <f>Inputs_Delivery_Effort!AM45</f>
        <v>0</v>
      </c>
      <c r="N39" s="677">
        <f>Inputs_Delivery_Effort!AN45</f>
        <v>0</v>
      </c>
      <c r="O39" s="677">
        <f>Inputs_Delivery_Effort!AO45</f>
        <v>0</v>
      </c>
      <c r="P39" s="263"/>
    </row>
    <row r="40" spans="1:16" x14ac:dyDescent="0.25">
      <c r="A40" s="263"/>
      <c r="B40" s="263"/>
      <c r="C40" s="263" t="s">
        <v>146</v>
      </c>
      <c r="D40" s="263" t="s">
        <v>30</v>
      </c>
      <c r="E40" s="263" t="s">
        <v>43</v>
      </c>
      <c r="F40" s="263"/>
      <c r="G40" s="675">
        <f t="shared" ref="G40:O40" si="8">(G38*IT_Consultant_Daily_Rate)+G39</f>
        <v>9900</v>
      </c>
      <c r="H40" s="675">
        <f t="shared" si="8"/>
        <v>25180</v>
      </c>
      <c r="I40" s="675">
        <f t="shared" si="8"/>
        <v>9900</v>
      </c>
      <c r="J40" s="675">
        <f t="shared" si="8"/>
        <v>9900</v>
      </c>
      <c r="K40" s="675">
        <f t="shared" si="8"/>
        <v>0</v>
      </c>
      <c r="L40" s="675">
        <f t="shared" si="8"/>
        <v>0</v>
      </c>
      <c r="M40" s="675">
        <f t="shared" si="8"/>
        <v>4950</v>
      </c>
      <c r="N40" s="675">
        <f t="shared" si="8"/>
        <v>0</v>
      </c>
      <c r="O40" s="675">
        <f t="shared" si="8"/>
        <v>4950</v>
      </c>
      <c r="P40" s="263"/>
    </row>
    <row r="41" spans="1:16" x14ac:dyDescent="0.25">
      <c r="A41" s="263"/>
      <c r="B41" s="263"/>
      <c r="C41" s="263"/>
      <c r="D41" s="263"/>
      <c r="E41" s="263"/>
      <c r="F41" s="263"/>
      <c r="G41" s="263"/>
      <c r="H41" s="263"/>
      <c r="I41" s="263"/>
      <c r="J41" s="263"/>
      <c r="K41" s="263"/>
      <c r="L41" s="263"/>
      <c r="M41" s="263"/>
      <c r="N41" s="263"/>
      <c r="O41" s="263"/>
      <c r="P41" s="263"/>
    </row>
    <row r="42" spans="1:16" x14ac:dyDescent="0.25">
      <c r="A42" s="263"/>
      <c r="B42" s="263"/>
      <c r="C42" s="263" t="s">
        <v>146</v>
      </c>
      <c r="D42" s="263" t="s">
        <v>49</v>
      </c>
      <c r="E42" s="263" t="s">
        <v>47</v>
      </c>
      <c r="F42" s="263" t="s">
        <v>120</v>
      </c>
      <c r="G42" s="37">
        <f>Inputs_Delivery_Effort!AG46</f>
        <v>0.2</v>
      </c>
      <c r="H42" s="37">
        <f>Inputs_Delivery_Effort!AH46</f>
        <v>0.2</v>
      </c>
      <c r="I42" s="37">
        <f>Inputs_Delivery_Effort!AI46</f>
        <v>0.2</v>
      </c>
      <c r="J42" s="37">
        <f>Inputs_Delivery_Effort!AJ46</f>
        <v>0.2</v>
      </c>
      <c r="K42" s="37">
        <f>Inputs_Delivery_Effort!AK46</f>
        <v>0.2</v>
      </c>
      <c r="L42" s="37">
        <f>Inputs_Delivery_Effort!AL46</f>
        <v>0.2</v>
      </c>
      <c r="M42" s="37">
        <f>Inputs_Delivery_Effort!AM46</f>
        <v>0.2</v>
      </c>
      <c r="N42" s="37">
        <f>Inputs_Delivery_Effort!AN46</f>
        <v>0.2</v>
      </c>
      <c r="O42" s="37">
        <f>Inputs_Delivery_Effort!AO46</f>
        <v>0.2</v>
      </c>
      <c r="P42" s="263"/>
    </row>
    <row r="43" spans="1:16" x14ac:dyDescent="0.25">
      <c r="A43" s="263"/>
      <c r="B43" s="263"/>
      <c r="C43" s="263" t="s">
        <v>146</v>
      </c>
      <c r="D43" s="263" t="s">
        <v>30</v>
      </c>
      <c r="E43" s="263" t="s">
        <v>42</v>
      </c>
      <c r="F43" s="263"/>
      <c r="G43" s="675">
        <f t="shared" ref="G43:O43" si="9">(G38*IT_Consultant_Daily_Rate)*G42</f>
        <v>1980</v>
      </c>
      <c r="H43" s="675">
        <f t="shared" si="9"/>
        <v>3036.0000000000005</v>
      </c>
      <c r="I43" s="675">
        <f t="shared" si="9"/>
        <v>1980</v>
      </c>
      <c r="J43" s="675">
        <f t="shared" si="9"/>
        <v>1980</v>
      </c>
      <c r="K43" s="675">
        <f t="shared" si="9"/>
        <v>0</v>
      </c>
      <c r="L43" s="675">
        <f t="shared" si="9"/>
        <v>0</v>
      </c>
      <c r="M43" s="675">
        <f t="shared" si="9"/>
        <v>990</v>
      </c>
      <c r="N43" s="675">
        <f t="shared" si="9"/>
        <v>0</v>
      </c>
      <c r="O43" s="675">
        <f t="shared" si="9"/>
        <v>990</v>
      </c>
      <c r="P43" s="263"/>
    </row>
    <row r="44" spans="1:16" x14ac:dyDescent="0.25">
      <c r="A44" s="263"/>
      <c r="B44" s="263"/>
      <c r="C44" s="263"/>
      <c r="D44" s="263"/>
      <c r="E44" s="263"/>
      <c r="F44" s="263"/>
      <c r="G44" s="263"/>
      <c r="H44" s="263"/>
      <c r="I44" s="263"/>
      <c r="J44" s="263"/>
      <c r="K44" s="263"/>
      <c r="L44" s="263"/>
      <c r="M44" s="263"/>
      <c r="N44" s="263"/>
      <c r="O44" s="263"/>
      <c r="P44" s="263"/>
    </row>
    <row r="45" spans="1:16" x14ac:dyDescent="0.25">
      <c r="A45" s="117"/>
      <c r="B45" s="124"/>
      <c r="C45" s="125" t="s">
        <v>141</v>
      </c>
      <c r="D45" s="125"/>
      <c r="E45" s="125"/>
      <c r="F45" s="126"/>
      <c r="G45" s="126"/>
      <c r="H45" s="126"/>
      <c r="I45" s="126"/>
      <c r="J45" s="126"/>
      <c r="K45" s="126"/>
      <c r="L45" s="126"/>
      <c r="M45" s="126"/>
      <c r="N45" s="126"/>
      <c r="O45" s="126"/>
      <c r="P45" s="263"/>
    </row>
    <row r="46" spans="1:16" x14ac:dyDescent="0.25">
      <c r="A46" s="117"/>
      <c r="B46" s="124"/>
      <c r="C46" s="124"/>
      <c r="D46" s="124"/>
      <c r="E46" s="124"/>
      <c r="F46" s="128"/>
      <c r="G46" s="128"/>
      <c r="H46" s="128"/>
      <c r="I46" s="128"/>
      <c r="J46" s="128"/>
      <c r="K46" s="128"/>
      <c r="L46" s="128"/>
      <c r="M46" s="128"/>
      <c r="N46" s="128"/>
      <c r="O46" s="128"/>
      <c r="P46" s="263"/>
    </row>
    <row r="47" spans="1:16" x14ac:dyDescent="0.25">
      <c r="A47" s="263"/>
      <c r="B47" s="263"/>
      <c r="C47" s="263" t="s">
        <v>141</v>
      </c>
      <c r="D47" s="263" t="s">
        <v>61</v>
      </c>
      <c r="E47" s="263" t="s">
        <v>50</v>
      </c>
      <c r="F47" s="263" t="s">
        <v>152</v>
      </c>
      <c r="G47" s="673">
        <f>Inputs_Delivery_Effort!AG47</f>
        <v>85.8</v>
      </c>
      <c r="H47" s="673">
        <f>Inputs_Delivery_Effort!AH47</f>
        <v>96.36</v>
      </c>
      <c r="I47" s="673">
        <f>Inputs_Delivery_Effort!AI47</f>
        <v>85.8</v>
      </c>
      <c r="J47" s="673">
        <f>Inputs_Delivery_Effort!AJ47</f>
        <v>85.8</v>
      </c>
      <c r="K47" s="673">
        <f>Inputs_Delivery_Effort!AK47</f>
        <v>0</v>
      </c>
      <c r="L47" s="673">
        <f>Inputs_Delivery_Effort!AL47</f>
        <v>0</v>
      </c>
      <c r="M47" s="673">
        <f>Inputs_Delivery_Effort!AM47</f>
        <v>42.9</v>
      </c>
      <c r="N47" s="673">
        <f>Inputs_Delivery_Effort!AN47</f>
        <v>0</v>
      </c>
      <c r="O47" s="673">
        <f>Inputs_Delivery_Effort!AO47</f>
        <v>42.9</v>
      </c>
      <c r="P47" s="263"/>
    </row>
    <row r="48" spans="1:16" x14ac:dyDescent="0.25">
      <c r="A48" s="263"/>
      <c r="B48" s="263"/>
      <c r="C48" s="263" t="s">
        <v>141</v>
      </c>
      <c r="D48" s="263" t="s">
        <v>30</v>
      </c>
      <c r="E48" s="263" t="s">
        <v>50</v>
      </c>
      <c r="F48" s="263" t="s">
        <v>119</v>
      </c>
      <c r="G48" s="677">
        <f>Inputs_Delivery_Effort!AG48</f>
        <v>0</v>
      </c>
      <c r="H48" s="677">
        <f>Inputs_Delivery_Effort!AH48</f>
        <v>10000</v>
      </c>
      <c r="I48" s="677">
        <f>Inputs_Delivery_Effort!AI48</f>
        <v>0</v>
      </c>
      <c r="J48" s="677">
        <f>Inputs_Delivery_Effort!AJ48</f>
        <v>0</v>
      </c>
      <c r="K48" s="677">
        <f>Inputs_Delivery_Effort!AK48</f>
        <v>0</v>
      </c>
      <c r="L48" s="677">
        <f>Inputs_Delivery_Effort!AL48</f>
        <v>0</v>
      </c>
      <c r="M48" s="677">
        <f>Inputs_Delivery_Effort!AM48</f>
        <v>0</v>
      </c>
      <c r="N48" s="677">
        <f>Inputs_Delivery_Effort!AN48</f>
        <v>0</v>
      </c>
      <c r="O48" s="677">
        <f>Inputs_Delivery_Effort!AO48</f>
        <v>0</v>
      </c>
      <c r="P48" s="263"/>
    </row>
    <row r="49" spans="1:16" x14ac:dyDescent="0.25">
      <c r="A49" s="263"/>
      <c r="B49" s="263"/>
      <c r="C49" s="263" t="s">
        <v>141</v>
      </c>
      <c r="D49" s="263" t="s">
        <v>30</v>
      </c>
      <c r="E49" s="263" t="s">
        <v>43</v>
      </c>
      <c r="F49" s="263"/>
      <c r="G49" s="675">
        <f t="shared" ref="G49:O49" si="10">(G47*IT_Consultant_Daily_Rate)+G48</f>
        <v>42900</v>
      </c>
      <c r="H49" s="675">
        <f t="shared" si="10"/>
        <v>58180</v>
      </c>
      <c r="I49" s="675">
        <f t="shared" si="10"/>
        <v>42900</v>
      </c>
      <c r="J49" s="675">
        <f t="shared" si="10"/>
        <v>42900</v>
      </c>
      <c r="K49" s="675">
        <f t="shared" si="10"/>
        <v>0</v>
      </c>
      <c r="L49" s="675">
        <f t="shared" si="10"/>
        <v>0</v>
      </c>
      <c r="M49" s="675">
        <f t="shared" si="10"/>
        <v>21450</v>
      </c>
      <c r="N49" s="675">
        <f t="shared" si="10"/>
        <v>0</v>
      </c>
      <c r="O49" s="675">
        <f t="shared" si="10"/>
        <v>21450</v>
      </c>
      <c r="P49" s="263"/>
    </row>
    <row r="50" spans="1:16" x14ac:dyDescent="0.25">
      <c r="A50" s="263"/>
      <c r="B50" s="263"/>
      <c r="C50" s="263"/>
      <c r="D50" s="263"/>
      <c r="E50" s="263"/>
      <c r="F50" s="263"/>
      <c r="G50" s="263"/>
      <c r="H50" s="263"/>
      <c r="I50" s="263"/>
      <c r="J50" s="263"/>
      <c r="K50" s="263"/>
      <c r="L50" s="263"/>
      <c r="M50" s="263"/>
      <c r="N50" s="263"/>
      <c r="O50" s="263"/>
      <c r="P50" s="263"/>
    </row>
    <row r="51" spans="1:16" x14ac:dyDescent="0.25">
      <c r="A51" s="263"/>
      <c r="B51" s="263"/>
      <c r="C51" s="263" t="s">
        <v>141</v>
      </c>
      <c r="D51" s="263" t="s">
        <v>49</v>
      </c>
      <c r="E51" s="263" t="s">
        <v>47</v>
      </c>
      <c r="F51" s="263" t="s">
        <v>120</v>
      </c>
      <c r="G51" s="37">
        <f>Inputs_Delivery_Effort!AG49</f>
        <v>0.2</v>
      </c>
      <c r="H51" s="37">
        <f>Inputs_Delivery_Effort!AH49</f>
        <v>0.2</v>
      </c>
      <c r="I51" s="37">
        <f>Inputs_Delivery_Effort!AI49</f>
        <v>0.2</v>
      </c>
      <c r="J51" s="37">
        <f>Inputs_Delivery_Effort!AJ49</f>
        <v>0.2</v>
      </c>
      <c r="K51" s="37">
        <f>Inputs_Delivery_Effort!AK49</f>
        <v>0.2</v>
      </c>
      <c r="L51" s="37">
        <f>Inputs_Delivery_Effort!AL49</f>
        <v>0.2</v>
      </c>
      <c r="M51" s="37">
        <f>Inputs_Delivery_Effort!AM49</f>
        <v>0.2</v>
      </c>
      <c r="N51" s="37">
        <f>Inputs_Delivery_Effort!AN49</f>
        <v>0.2</v>
      </c>
      <c r="O51" s="37">
        <f>Inputs_Delivery_Effort!AO49</f>
        <v>0.2</v>
      </c>
      <c r="P51" s="263"/>
    </row>
    <row r="52" spans="1:16" x14ac:dyDescent="0.25">
      <c r="A52" s="263"/>
      <c r="B52" s="263"/>
      <c r="C52" s="263" t="s">
        <v>141</v>
      </c>
      <c r="D52" s="263" t="s">
        <v>30</v>
      </c>
      <c r="E52" s="263" t="s">
        <v>42</v>
      </c>
      <c r="F52" s="263"/>
      <c r="G52" s="675">
        <f t="shared" ref="G52:O52" si="11">(G47*IT_Consultant_Daily_Rate)*G51</f>
        <v>8580</v>
      </c>
      <c r="H52" s="675">
        <f t="shared" si="11"/>
        <v>9636</v>
      </c>
      <c r="I52" s="675">
        <f t="shared" si="11"/>
        <v>8580</v>
      </c>
      <c r="J52" s="675">
        <f t="shared" si="11"/>
        <v>8580</v>
      </c>
      <c r="K52" s="675">
        <f t="shared" si="11"/>
        <v>0</v>
      </c>
      <c r="L52" s="675">
        <f t="shared" si="11"/>
        <v>0</v>
      </c>
      <c r="M52" s="675">
        <f t="shared" si="11"/>
        <v>4290</v>
      </c>
      <c r="N52" s="675">
        <f t="shared" si="11"/>
        <v>0</v>
      </c>
      <c r="O52" s="675">
        <f t="shared" si="11"/>
        <v>4290</v>
      </c>
      <c r="P52" s="263"/>
    </row>
    <row r="53" spans="1:16" x14ac:dyDescent="0.25">
      <c r="A53" s="263"/>
      <c r="B53" s="263"/>
      <c r="C53" s="263"/>
      <c r="D53" s="263"/>
      <c r="E53" s="263"/>
      <c r="F53" s="263"/>
      <c r="G53" s="263"/>
      <c r="H53" s="263"/>
      <c r="I53" s="263"/>
      <c r="J53" s="263"/>
      <c r="K53" s="263"/>
      <c r="L53" s="263"/>
      <c r="M53" s="263"/>
      <c r="N53" s="263"/>
      <c r="O53" s="263"/>
      <c r="P53" s="263"/>
    </row>
    <row r="54" spans="1:16" x14ac:dyDescent="0.25">
      <c r="A54" s="117"/>
      <c r="B54" s="124"/>
      <c r="C54" s="125" t="s">
        <v>142</v>
      </c>
      <c r="D54" s="125"/>
      <c r="E54" s="125"/>
      <c r="F54" s="126"/>
      <c r="G54" s="126"/>
      <c r="H54" s="126"/>
      <c r="I54" s="126"/>
      <c r="J54" s="126"/>
      <c r="K54" s="126"/>
      <c r="L54" s="126"/>
      <c r="M54" s="126"/>
      <c r="N54" s="126"/>
      <c r="O54" s="126"/>
      <c r="P54" s="263"/>
    </row>
    <row r="55" spans="1:16" x14ac:dyDescent="0.25">
      <c r="A55" s="117"/>
      <c r="B55" s="124"/>
      <c r="C55" s="124"/>
      <c r="D55" s="124"/>
      <c r="E55" s="124"/>
      <c r="F55" s="128"/>
      <c r="G55" s="128"/>
      <c r="H55" s="128"/>
      <c r="I55" s="128"/>
      <c r="J55" s="128"/>
      <c r="K55" s="128"/>
      <c r="L55" s="128"/>
      <c r="M55" s="128"/>
      <c r="N55" s="128"/>
      <c r="O55" s="128"/>
      <c r="P55" s="263"/>
    </row>
    <row r="56" spans="1:16" x14ac:dyDescent="0.25">
      <c r="A56" s="263"/>
      <c r="B56" s="263"/>
      <c r="C56" s="263" t="s">
        <v>142</v>
      </c>
      <c r="D56" s="263" t="s">
        <v>61</v>
      </c>
      <c r="E56" s="263" t="s">
        <v>50</v>
      </c>
      <c r="F56" s="263" t="s">
        <v>152</v>
      </c>
      <c r="G56" s="673">
        <f>Inputs_Delivery_Effort!AG50</f>
        <v>128.28750000000002</v>
      </c>
      <c r="H56" s="673">
        <f>Inputs_Delivery_Effort!AH50</f>
        <v>128.28750000000002</v>
      </c>
      <c r="I56" s="673">
        <f>Inputs_Delivery_Effort!AI50</f>
        <v>128.28750000000002</v>
      </c>
      <c r="J56" s="673">
        <f>Inputs_Delivery_Effort!AJ50</f>
        <v>128.28750000000002</v>
      </c>
      <c r="K56" s="673">
        <f>Inputs_Delivery_Effort!AK50</f>
        <v>0</v>
      </c>
      <c r="L56" s="673">
        <f>Inputs_Delivery_Effort!AL50</f>
        <v>0</v>
      </c>
      <c r="M56" s="673">
        <f>Inputs_Delivery_Effort!AM50</f>
        <v>64.143750000000011</v>
      </c>
      <c r="N56" s="673">
        <f>Inputs_Delivery_Effort!AN50</f>
        <v>0</v>
      </c>
      <c r="O56" s="673">
        <f>Inputs_Delivery_Effort!AO50</f>
        <v>64.143750000000011</v>
      </c>
      <c r="P56" s="263"/>
    </row>
    <row r="57" spans="1:16" x14ac:dyDescent="0.25">
      <c r="A57" s="263"/>
      <c r="B57" s="263"/>
      <c r="C57" s="263" t="s">
        <v>142</v>
      </c>
      <c r="D57" s="263" t="s">
        <v>30</v>
      </c>
      <c r="E57" s="263" t="s">
        <v>50</v>
      </c>
      <c r="F57" s="263" t="s">
        <v>119</v>
      </c>
      <c r="G57" s="677">
        <f>Inputs_Delivery_Effort!AG51</f>
        <v>0</v>
      </c>
      <c r="H57" s="677">
        <f>Inputs_Delivery_Effort!AH51</f>
        <v>0</v>
      </c>
      <c r="I57" s="677">
        <f>Inputs_Delivery_Effort!AI51</f>
        <v>0</v>
      </c>
      <c r="J57" s="677">
        <f>Inputs_Delivery_Effort!AJ51</f>
        <v>0</v>
      </c>
      <c r="K57" s="677">
        <f>Inputs_Delivery_Effort!AK51</f>
        <v>0</v>
      </c>
      <c r="L57" s="677">
        <f>Inputs_Delivery_Effort!AL51</f>
        <v>0</v>
      </c>
      <c r="M57" s="677">
        <f>Inputs_Delivery_Effort!AM51</f>
        <v>0</v>
      </c>
      <c r="N57" s="677">
        <f>Inputs_Delivery_Effort!AN51</f>
        <v>0</v>
      </c>
      <c r="O57" s="677">
        <f>Inputs_Delivery_Effort!AO51</f>
        <v>0</v>
      </c>
      <c r="P57" s="263"/>
    </row>
    <row r="58" spans="1:16" x14ac:dyDescent="0.25">
      <c r="A58" s="263"/>
      <c r="B58" s="263"/>
      <c r="C58" s="263" t="s">
        <v>142</v>
      </c>
      <c r="D58" s="263" t="s">
        <v>30</v>
      </c>
      <c r="E58" s="263" t="s">
        <v>43</v>
      </c>
      <c r="F58" s="263"/>
      <c r="G58" s="675">
        <f t="shared" ref="G58:O58" si="12">(G56*IT_Consultant_Daily_Rate)+G57</f>
        <v>64143.750000000015</v>
      </c>
      <c r="H58" s="675">
        <f t="shared" si="12"/>
        <v>64143.750000000015</v>
      </c>
      <c r="I58" s="675">
        <f t="shared" si="12"/>
        <v>64143.750000000015</v>
      </c>
      <c r="J58" s="675">
        <f t="shared" si="12"/>
        <v>64143.750000000015</v>
      </c>
      <c r="K58" s="675">
        <f t="shared" si="12"/>
        <v>0</v>
      </c>
      <c r="L58" s="675">
        <f t="shared" si="12"/>
        <v>0</v>
      </c>
      <c r="M58" s="675">
        <f t="shared" si="12"/>
        <v>32071.875000000007</v>
      </c>
      <c r="N58" s="675">
        <f t="shared" si="12"/>
        <v>0</v>
      </c>
      <c r="O58" s="675">
        <f t="shared" si="12"/>
        <v>32071.875000000007</v>
      </c>
      <c r="P58" s="263"/>
    </row>
    <row r="59" spans="1:16" x14ac:dyDescent="0.25">
      <c r="A59" s="263"/>
      <c r="B59" s="263"/>
      <c r="C59" s="263"/>
      <c r="D59" s="263"/>
      <c r="E59" s="263"/>
      <c r="F59" s="263"/>
      <c r="G59" s="263"/>
      <c r="H59" s="263"/>
      <c r="I59" s="263"/>
      <c r="J59" s="263"/>
      <c r="K59" s="263"/>
      <c r="L59" s="263"/>
      <c r="M59" s="263"/>
      <c r="N59" s="263"/>
      <c r="O59" s="263"/>
      <c r="P59" s="263"/>
    </row>
    <row r="60" spans="1:16" x14ac:dyDescent="0.25">
      <c r="A60" s="263"/>
      <c r="B60" s="263"/>
      <c r="C60" s="263" t="s">
        <v>142</v>
      </c>
      <c r="D60" s="263" t="s">
        <v>49</v>
      </c>
      <c r="E60" s="263" t="s">
        <v>47</v>
      </c>
      <c r="F60" s="263" t="s">
        <v>120</v>
      </c>
      <c r="G60" s="37">
        <f>Inputs_Delivery_Effort!AG52</f>
        <v>0.2</v>
      </c>
      <c r="H60" s="37">
        <f>Inputs_Delivery_Effort!AH52</f>
        <v>0.2</v>
      </c>
      <c r="I60" s="37">
        <f>Inputs_Delivery_Effort!AI52</f>
        <v>0.2</v>
      </c>
      <c r="J60" s="37">
        <f>Inputs_Delivery_Effort!AJ52</f>
        <v>0.2</v>
      </c>
      <c r="K60" s="37">
        <f>Inputs_Delivery_Effort!AK52</f>
        <v>0.2</v>
      </c>
      <c r="L60" s="37">
        <f>Inputs_Delivery_Effort!AL52</f>
        <v>0.2</v>
      </c>
      <c r="M60" s="37">
        <f>Inputs_Delivery_Effort!AM52</f>
        <v>0.2</v>
      </c>
      <c r="N60" s="37">
        <f>Inputs_Delivery_Effort!AN52</f>
        <v>0.2</v>
      </c>
      <c r="O60" s="37">
        <f>Inputs_Delivery_Effort!AO52</f>
        <v>0.2</v>
      </c>
      <c r="P60" s="263"/>
    </row>
    <row r="61" spans="1:16" x14ac:dyDescent="0.25">
      <c r="A61" s="263"/>
      <c r="B61" s="263"/>
      <c r="C61" s="263" t="s">
        <v>142</v>
      </c>
      <c r="D61" s="263" t="s">
        <v>30</v>
      </c>
      <c r="E61" s="263" t="s">
        <v>42</v>
      </c>
      <c r="F61" s="263"/>
      <c r="G61" s="675">
        <f t="shared" ref="G61:O61" si="13">(G56*IT_Consultant_Daily_Rate)*G60</f>
        <v>12828.750000000004</v>
      </c>
      <c r="H61" s="675">
        <f t="shared" si="13"/>
        <v>12828.750000000004</v>
      </c>
      <c r="I61" s="675">
        <f t="shared" si="13"/>
        <v>12828.750000000004</v>
      </c>
      <c r="J61" s="675">
        <f t="shared" si="13"/>
        <v>12828.750000000004</v>
      </c>
      <c r="K61" s="675">
        <f t="shared" si="13"/>
        <v>0</v>
      </c>
      <c r="L61" s="675">
        <f t="shared" si="13"/>
        <v>0</v>
      </c>
      <c r="M61" s="675">
        <f t="shared" si="13"/>
        <v>6414.3750000000018</v>
      </c>
      <c r="N61" s="675">
        <f t="shared" si="13"/>
        <v>0</v>
      </c>
      <c r="O61" s="675">
        <f t="shared" si="13"/>
        <v>6414.3750000000018</v>
      </c>
      <c r="P61" s="263"/>
    </row>
    <row r="62" spans="1:16" x14ac:dyDescent="0.25">
      <c r="A62" s="263"/>
      <c r="B62" s="263"/>
      <c r="C62" s="263"/>
      <c r="D62" s="263"/>
      <c r="E62" s="263"/>
      <c r="F62" s="263"/>
      <c r="G62" s="263"/>
      <c r="H62" s="263"/>
      <c r="I62" s="263"/>
      <c r="J62" s="263"/>
      <c r="K62" s="263"/>
      <c r="L62" s="263"/>
      <c r="M62" s="263"/>
      <c r="N62" s="263"/>
      <c r="O62" s="263"/>
      <c r="P62" s="263"/>
    </row>
    <row r="63" spans="1:16" x14ac:dyDescent="0.25">
      <c r="A63" s="117"/>
      <c r="B63" s="124"/>
      <c r="C63" s="125" t="s">
        <v>143</v>
      </c>
      <c r="D63" s="125"/>
      <c r="E63" s="125"/>
      <c r="F63" s="126"/>
      <c r="G63" s="126"/>
      <c r="H63" s="126"/>
      <c r="I63" s="126"/>
      <c r="J63" s="126"/>
      <c r="K63" s="126"/>
      <c r="L63" s="126"/>
      <c r="M63" s="126"/>
      <c r="N63" s="126"/>
      <c r="O63" s="126"/>
      <c r="P63" s="263"/>
    </row>
    <row r="64" spans="1:16" x14ac:dyDescent="0.25">
      <c r="A64" s="117"/>
      <c r="B64" s="124"/>
      <c r="C64" s="124"/>
      <c r="D64" s="124"/>
      <c r="E64" s="124"/>
      <c r="F64" s="128"/>
      <c r="G64" s="128"/>
      <c r="H64" s="128"/>
      <c r="I64" s="128"/>
      <c r="J64" s="128"/>
      <c r="K64" s="128"/>
      <c r="L64" s="128"/>
      <c r="M64" s="128"/>
      <c r="N64" s="128"/>
      <c r="O64" s="128"/>
      <c r="P64" s="263"/>
    </row>
    <row r="65" spans="1:16" x14ac:dyDescent="0.25">
      <c r="A65" s="263"/>
      <c r="B65" s="263"/>
      <c r="C65" s="263" t="s">
        <v>143</v>
      </c>
      <c r="D65" s="263" t="s">
        <v>61</v>
      </c>
      <c r="E65" s="263" t="s">
        <v>50</v>
      </c>
      <c r="F65" s="263" t="s">
        <v>152</v>
      </c>
      <c r="G65" s="673">
        <f>Inputs_Delivery_Effort!AG53</f>
        <v>128.28750000000002</v>
      </c>
      <c r="H65" s="673">
        <f>Inputs_Delivery_Effort!AH53</f>
        <v>128.28750000000002</v>
      </c>
      <c r="I65" s="673">
        <f>Inputs_Delivery_Effort!AI53</f>
        <v>128.28750000000002</v>
      </c>
      <c r="J65" s="673">
        <f>Inputs_Delivery_Effort!AJ53</f>
        <v>128.28750000000002</v>
      </c>
      <c r="K65" s="673">
        <f>Inputs_Delivery_Effort!AK53</f>
        <v>0</v>
      </c>
      <c r="L65" s="673">
        <f>Inputs_Delivery_Effort!AL53</f>
        <v>0</v>
      </c>
      <c r="M65" s="673">
        <f>Inputs_Delivery_Effort!AM53</f>
        <v>64.143750000000011</v>
      </c>
      <c r="N65" s="673">
        <f>Inputs_Delivery_Effort!AN53</f>
        <v>0</v>
      </c>
      <c r="O65" s="673">
        <f>Inputs_Delivery_Effort!AO53</f>
        <v>64.143750000000011</v>
      </c>
      <c r="P65" s="263"/>
    </row>
    <row r="66" spans="1:16" x14ac:dyDescent="0.25">
      <c r="A66" s="263"/>
      <c r="B66" s="263"/>
      <c r="C66" s="263" t="s">
        <v>143</v>
      </c>
      <c r="D66" s="263" t="s">
        <v>30</v>
      </c>
      <c r="E66" s="263" t="s">
        <v>50</v>
      </c>
      <c r="F66" s="263" t="s">
        <v>119</v>
      </c>
      <c r="G66" s="677">
        <f>Inputs_Delivery_Effort!AG54</f>
        <v>0</v>
      </c>
      <c r="H66" s="677">
        <f>Inputs_Delivery_Effort!AH54</f>
        <v>0</v>
      </c>
      <c r="I66" s="677">
        <f>Inputs_Delivery_Effort!AI54</f>
        <v>0</v>
      </c>
      <c r="J66" s="677">
        <f>Inputs_Delivery_Effort!AJ54</f>
        <v>0</v>
      </c>
      <c r="K66" s="677">
        <f>Inputs_Delivery_Effort!AK54</f>
        <v>0</v>
      </c>
      <c r="L66" s="677">
        <f>Inputs_Delivery_Effort!AL54</f>
        <v>0</v>
      </c>
      <c r="M66" s="677">
        <f>Inputs_Delivery_Effort!AM54</f>
        <v>0</v>
      </c>
      <c r="N66" s="677">
        <f>Inputs_Delivery_Effort!AN54</f>
        <v>0</v>
      </c>
      <c r="O66" s="677">
        <f>Inputs_Delivery_Effort!AO54</f>
        <v>0</v>
      </c>
      <c r="P66" s="263"/>
    </row>
    <row r="67" spans="1:16" x14ac:dyDescent="0.25">
      <c r="A67" s="263"/>
      <c r="B67" s="263"/>
      <c r="C67" s="263" t="s">
        <v>143</v>
      </c>
      <c r="D67" s="263" t="s">
        <v>30</v>
      </c>
      <c r="E67" s="263" t="s">
        <v>43</v>
      </c>
      <c r="F67" s="263"/>
      <c r="G67" s="675">
        <f t="shared" ref="G67:O67" si="14">(G65*IT_Consultant_Daily_Rate)+G66</f>
        <v>64143.750000000015</v>
      </c>
      <c r="H67" s="675">
        <f t="shared" si="14"/>
        <v>64143.750000000015</v>
      </c>
      <c r="I67" s="675">
        <f t="shared" si="14"/>
        <v>64143.750000000015</v>
      </c>
      <c r="J67" s="675">
        <f t="shared" si="14"/>
        <v>64143.750000000015</v>
      </c>
      <c r="K67" s="675">
        <f t="shared" si="14"/>
        <v>0</v>
      </c>
      <c r="L67" s="675">
        <f t="shared" si="14"/>
        <v>0</v>
      </c>
      <c r="M67" s="675">
        <f t="shared" si="14"/>
        <v>32071.875000000007</v>
      </c>
      <c r="N67" s="675">
        <f t="shared" si="14"/>
        <v>0</v>
      </c>
      <c r="O67" s="675">
        <f t="shared" si="14"/>
        <v>32071.875000000007</v>
      </c>
      <c r="P67" s="263"/>
    </row>
    <row r="68" spans="1:16" x14ac:dyDescent="0.25">
      <c r="A68" s="263"/>
      <c r="B68" s="263"/>
      <c r="C68" s="263"/>
      <c r="D68" s="263"/>
      <c r="E68" s="263"/>
      <c r="F68" s="263"/>
      <c r="G68" s="263"/>
      <c r="H68" s="263"/>
      <c r="I68" s="263"/>
      <c r="J68" s="263"/>
      <c r="K68" s="263"/>
      <c r="L68" s="263"/>
      <c r="M68" s="263"/>
      <c r="N68" s="263"/>
      <c r="O68" s="263"/>
      <c r="P68" s="263"/>
    </row>
    <row r="69" spans="1:16" x14ac:dyDescent="0.25">
      <c r="A69" s="263"/>
      <c r="B69" s="263"/>
      <c r="C69" s="263" t="s">
        <v>143</v>
      </c>
      <c r="D69" s="263" t="s">
        <v>49</v>
      </c>
      <c r="E69" s="263" t="s">
        <v>47</v>
      </c>
      <c r="F69" s="263" t="s">
        <v>120</v>
      </c>
      <c r="G69" s="37">
        <f>Inputs_Delivery_Effort!AG55</f>
        <v>0.2</v>
      </c>
      <c r="H69" s="37">
        <f>Inputs_Delivery_Effort!AH55</f>
        <v>0.2</v>
      </c>
      <c r="I69" s="37">
        <f>Inputs_Delivery_Effort!AI55</f>
        <v>0.2</v>
      </c>
      <c r="J69" s="37">
        <f>Inputs_Delivery_Effort!AJ55</f>
        <v>0.2</v>
      </c>
      <c r="K69" s="37">
        <f>Inputs_Delivery_Effort!AK55</f>
        <v>0.2</v>
      </c>
      <c r="L69" s="37">
        <f>Inputs_Delivery_Effort!AL55</f>
        <v>0.2</v>
      </c>
      <c r="M69" s="37">
        <f>Inputs_Delivery_Effort!AM55</f>
        <v>0.2</v>
      </c>
      <c r="N69" s="37">
        <f>Inputs_Delivery_Effort!AN55</f>
        <v>0.2</v>
      </c>
      <c r="O69" s="37">
        <f>Inputs_Delivery_Effort!AO55</f>
        <v>0.2</v>
      </c>
      <c r="P69" s="263"/>
    </row>
    <row r="70" spans="1:16" x14ac:dyDescent="0.25">
      <c r="A70" s="263"/>
      <c r="B70" s="263"/>
      <c r="C70" s="263" t="s">
        <v>143</v>
      </c>
      <c r="D70" s="263" t="s">
        <v>30</v>
      </c>
      <c r="E70" s="263"/>
      <c r="F70" s="263"/>
      <c r="G70" s="675">
        <f t="shared" ref="G70:O70" si="15">(G65*IT_Consultant_Daily_Rate)*G69</f>
        <v>12828.750000000004</v>
      </c>
      <c r="H70" s="675">
        <f t="shared" si="15"/>
        <v>12828.750000000004</v>
      </c>
      <c r="I70" s="675">
        <f t="shared" si="15"/>
        <v>12828.750000000004</v>
      </c>
      <c r="J70" s="675">
        <f t="shared" si="15"/>
        <v>12828.750000000004</v>
      </c>
      <c r="K70" s="675">
        <f t="shared" si="15"/>
        <v>0</v>
      </c>
      <c r="L70" s="675">
        <f t="shared" si="15"/>
        <v>0</v>
      </c>
      <c r="M70" s="675">
        <f t="shared" si="15"/>
        <v>6414.3750000000018</v>
      </c>
      <c r="N70" s="675">
        <f t="shared" si="15"/>
        <v>0</v>
      </c>
      <c r="O70" s="675">
        <f t="shared" si="15"/>
        <v>6414.3750000000018</v>
      </c>
      <c r="P70" s="263"/>
    </row>
    <row r="71" spans="1:16" x14ac:dyDescent="0.25">
      <c r="A71" s="263"/>
      <c r="B71" s="263"/>
      <c r="C71" s="263"/>
      <c r="D71" s="263"/>
      <c r="E71" s="263"/>
      <c r="F71" s="263"/>
      <c r="G71" s="263"/>
      <c r="H71" s="263"/>
      <c r="I71" s="263"/>
      <c r="J71" s="263"/>
      <c r="K71" s="263"/>
      <c r="L71" s="263"/>
      <c r="M71" s="263"/>
      <c r="N71" s="263"/>
      <c r="O71" s="263"/>
      <c r="P71" s="263"/>
    </row>
    <row r="72" spans="1:16" x14ac:dyDescent="0.25">
      <c r="A72" s="117"/>
      <c r="B72" s="124"/>
      <c r="C72" s="125" t="s">
        <v>147</v>
      </c>
      <c r="D72" s="125"/>
      <c r="E72" s="125"/>
      <c r="F72" s="126"/>
      <c r="G72" s="126"/>
      <c r="H72" s="126"/>
      <c r="I72" s="126"/>
      <c r="J72" s="126"/>
      <c r="K72" s="126"/>
      <c r="L72" s="126"/>
      <c r="M72" s="126"/>
      <c r="N72" s="126"/>
      <c r="O72" s="126"/>
      <c r="P72" s="263"/>
    </row>
    <row r="73" spans="1:16" x14ac:dyDescent="0.25">
      <c r="A73" s="117"/>
      <c r="B73" s="124"/>
      <c r="C73" s="124"/>
      <c r="D73" s="124"/>
      <c r="E73" s="124"/>
      <c r="F73" s="128"/>
      <c r="G73" s="128"/>
      <c r="H73" s="128"/>
      <c r="I73" s="128"/>
      <c r="J73" s="128"/>
      <c r="K73" s="128"/>
      <c r="L73" s="128"/>
      <c r="M73" s="128"/>
      <c r="N73" s="128"/>
      <c r="O73" s="128"/>
      <c r="P73" s="263"/>
    </row>
    <row r="74" spans="1:16" x14ac:dyDescent="0.25">
      <c r="A74" s="263"/>
      <c r="B74" s="263"/>
      <c r="C74" s="263" t="s">
        <v>147</v>
      </c>
      <c r="D74" s="263" t="s">
        <v>61</v>
      </c>
      <c r="E74" s="263" t="s">
        <v>50</v>
      </c>
      <c r="F74" s="263" t="s">
        <v>152</v>
      </c>
      <c r="G74" s="673">
        <f>Inputs_Delivery_Effort!AG56</f>
        <v>24.75</v>
      </c>
      <c r="H74" s="673">
        <f>Inputs_Delivery_Effort!AH56</f>
        <v>24.75</v>
      </c>
      <c r="I74" s="673">
        <f>Inputs_Delivery_Effort!AI56</f>
        <v>24.75</v>
      </c>
      <c r="J74" s="673">
        <f>Inputs_Delivery_Effort!AJ56</f>
        <v>24.75</v>
      </c>
      <c r="K74" s="673">
        <f>Inputs_Delivery_Effort!AK56</f>
        <v>0</v>
      </c>
      <c r="L74" s="673">
        <f>Inputs_Delivery_Effort!AL56</f>
        <v>0</v>
      </c>
      <c r="M74" s="673">
        <f>Inputs_Delivery_Effort!AM56</f>
        <v>12.375</v>
      </c>
      <c r="N74" s="673">
        <f>Inputs_Delivery_Effort!AN56</f>
        <v>0</v>
      </c>
      <c r="O74" s="673">
        <f>Inputs_Delivery_Effort!AO56</f>
        <v>12.375</v>
      </c>
      <c r="P74" s="263"/>
    </row>
    <row r="75" spans="1:16" x14ac:dyDescent="0.25">
      <c r="A75" s="263"/>
      <c r="B75" s="263"/>
      <c r="C75" s="263" t="s">
        <v>147</v>
      </c>
      <c r="D75" s="263" t="s">
        <v>30</v>
      </c>
      <c r="E75" s="263" t="s">
        <v>50</v>
      </c>
      <c r="F75" s="263" t="s">
        <v>119</v>
      </c>
      <c r="G75" s="677">
        <f>Inputs_Delivery_Effort!AG57</f>
        <v>0</v>
      </c>
      <c r="H75" s="677">
        <f>Inputs_Delivery_Effort!AH57</f>
        <v>0</v>
      </c>
      <c r="I75" s="677">
        <f>Inputs_Delivery_Effort!AI57</f>
        <v>0</v>
      </c>
      <c r="J75" s="677">
        <f>Inputs_Delivery_Effort!AJ57</f>
        <v>0</v>
      </c>
      <c r="K75" s="677">
        <f>Inputs_Delivery_Effort!AK57</f>
        <v>0</v>
      </c>
      <c r="L75" s="677">
        <f>Inputs_Delivery_Effort!AL57</f>
        <v>0</v>
      </c>
      <c r="M75" s="677">
        <f>Inputs_Delivery_Effort!AM57</f>
        <v>0</v>
      </c>
      <c r="N75" s="677">
        <f>Inputs_Delivery_Effort!AN57</f>
        <v>0</v>
      </c>
      <c r="O75" s="677">
        <f>Inputs_Delivery_Effort!AO57</f>
        <v>0</v>
      </c>
      <c r="P75" s="263"/>
    </row>
    <row r="76" spans="1:16" x14ac:dyDescent="0.25">
      <c r="A76" s="263"/>
      <c r="B76" s="263"/>
      <c r="C76" s="263" t="s">
        <v>147</v>
      </c>
      <c r="D76" s="263" t="s">
        <v>30</v>
      </c>
      <c r="E76" s="263" t="s">
        <v>43</v>
      </c>
      <c r="F76" s="263"/>
      <c r="G76" s="675">
        <f t="shared" ref="G76:O76" si="16">(G74*IT_Consultant_Daily_Rate)+G75</f>
        <v>12375</v>
      </c>
      <c r="H76" s="675">
        <f t="shared" si="16"/>
        <v>12375</v>
      </c>
      <c r="I76" s="675">
        <f t="shared" si="16"/>
        <v>12375</v>
      </c>
      <c r="J76" s="675">
        <f t="shared" si="16"/>
        <v>12375</v>
      </c>
      <c r="K76" s="675">
        <f t="shared" si="16"/>
        <v>0</v>
      </c>
      <c r="L76" s="675">
        <f t="shared" si="16"/>
        <v>0</v>
      </c>
      <c r="M76" s="675">
        <f t="shared" si="16"/>
        <v>6187.5</v>
      </c>
      <c r="N76" s="675">
        <f t="shared" si="16"/>
        <v>0</v>
      </c>
      <c r="O76" s="675">
        <f t="shared" si="16"/>
        <v>6187.5</v>
      </c>
      <c r="P76" s="263"/>
    </row>
    <row r="77" spans="1:16" x14ac:dyDescent="0.25">
      <c r="A77" s="263"/>
      <c r="B77" s="263"/>
      <c r="C77" s="263"/>
      <c r="D77" s="263"/>
      <c r="E77" s="263"/>
      <c r="F77" s="263"/>
      <c r="G77" s="263"/>
      <c r="H77" s="263"/>
      <c r="I77" s="263"/>
      <c r="J77" s="263"/>
      <c r="K77" s="263"/>
      <c r="L77" s="263"/>
      <c r="M77" s="263"/>
      <c r="N77" s="263"/>
      <c r="O77" s="263"/>
      <c r="P77" s="263"/>
    </row>
    <row r="78" spans="1:16" s="131" customFormat="1" x14ac:dyDescent="0.25">
      <c r="A78" s="39"/>
      <c r="B78" s="39"/>
      <c r="C78" s="39" t="s">
        <v>147</v>
      </c>
      <c r="D78" s="39" t="s">
        <v>49</v>
      </c>
      <c r="E78" s="39" t="s">
        <v>47</v>
      </c>
      <c r="F78" s="39" t="s">
        <v>120</v>
      </c>
      <c r="G78" s="37">
        <f>Inputs_Delivery_Effort!AG58</f>
        <v>0.2</v>
      </c>
      <c r="H78" s="37">
        <f>Inputs_Delivery_Effort!AH58</f>
        <v>0.2</v>
      </c>
      <c r="I78" s="37">
        <f>Inputs_Delivery_Effort!AI58</f>
        <v>0.2</v>
      </c>
      <c r="J78" s="37">
        <f>Inputs_Delivery_Effort!AJ58</f>
        <v>0.2</v>
      </c>
      <c r="K78" s="37">
        <f>Inputs_Delivery_Effort!AK58</f>
        <v>0.2</v>
      </c>
      <c r="L78" s="37">
        <f>Inputs_Delivery_Effort!AL58</f>
        <v>0.2</v>
      </c>
      <c r="M78" s="37">
        <f>Inputs_Delivery_Effort!AM58</f>
        <v>0.2</v>
      </c>
      <c r="N78" s="37">
        <f>Inputs_Delivery_Effort!AN58</f>
        <v>0.2</v>
      </c>
      <c r="O78" s="37">
        <f>Inputs_Delivery_Effort!AO58</f>
        <v>0.2</v>
      </c>
      <c r="P78" s="39"/>
    </row>
    <row r="79" spans="1:16" s="131" customFormat="1" x14ac:dyDescent="0.25">
      <c r="A79" s="39"/>
      <c r="B79" s="39"/>
      <c r="C79" s="39" t="s">
        <v>147</v>
      </c>
      <c r="D79" s="265" t="s">
        <v>30</v>
      </c>
      <c r="E79" s="265" t="s">
        <v>42</v>
      </c>
      <c r="F79" s="39"/>
      <c r="G79" s="675">
        <f t="shared" ref="G79:O79" si="17">(G74*IT_Consultant_Daily_Rate)*G78</f>
        <v>2475</v>
      </c>
      <c r="H79" s="675">
        <f t="shared" si="17"/>
        <v>2475</v>
      </c>
      <c r="I79" s="675">
        <f t="shared" si="17"/>
        <v>2475</v>
      </c>
      <c r="J79" s="675">
        <f t="shared" si="17"/>
        <v>2475</v>
      </c>
      <c r="K79" s="675">
        <f t="shared" si="17"/>
        <v>0</v>
      </c>
      <c r="L79" s="675">
        <f t="shared" si="17"/>
        <v>0</v>
      </c>
      <c r="M79" s="675">
        <f t="shared" si="17"/>
        <v>1237.5</v>
      </c>
      <c r="N79" s="675">
        <f t="shared" si="17"/>
        <v>0</v>
      </c>
      <c r="O79" s="675">
        <f t="shared" si="17"/>
        <v>1237.5</v>
      </c>
      <c r="P79" s="39"/>
    </row>
    <row r="80" spans="1:16" x14ac:dyDescent="0.25">
      <c r="A80" s="263"/>
      <c r="B80" s="263"/>
      <c r="C80" s="263"/>
      <c r="D80" s="263"/>
      <c r="E80" s="263"/>
      <c r="F80" s="263"/>
      <c r="G80" s="263"/>
      <c r="H80" s="263"/>
      <c r="I80" s="263"/>
      <c r="J80" s="263"/>
      <c r="K80" s="263"/>
      <c r="L80" s="263"/>
      <c r="M80" s="263"/>
      <c r="N80" s="263"/>
      <c r="O80" s="263"/>
      <c r="P80" s="263"/>
    </row>
    <row r="81" spans="1:16" x14ac:dyDescent="0.25">
      <c r="A81" s="117"/>
      <c r="B81" s="124"/>
      <c r="C81" s="125" t="s">
        <v>144</v>
      </c>
      <c r="D81" s="125"/>
      <c r="E81" s="125"/>
      <c r="F81" s="126"/>
      <c r="G81" s="126"/>
      <c r="H81" s="126"/>
      <c r="I81" s="126"/>
      <c r="J81" s="126"/>
      <c r="K81" s="126"/>
      <c r="L81" s="126"/>
      <c r="M81" s="126"/>
      <c r="N81" s="126"/>
      <c r="O81" s="126"/>
      <c r="P81" s="263"/>
    </row>
    <row r="82" spans="1:16" x14ac:dyDescent="0.25">
      <c r="A82" s="117"/>
      <c r="B82" s="124"/>
      <c r="C82" s="124"/>
      <c r="D82" s="124"/>
      <c r="E82" s="124"/>
      <c r="F82" s="128"/>
      <c r="G82" s="128"/>
      <c r="H82" s="128"/>
      <c r="I82" s="128"/>
      <c r="J82" s="128"/>
      <c r="K82" s="128"/>
      <c r="L82" s="128"/>
      <c r="M82" s="128"/>
      <c r="N82" s="128"/>
      <c r="O82" s="128"/>
      <c r="P82" s="263"/>
    </row>
    <row r="83" spans="1:16" x14ac:dyDescent="0.25">
      <c r="A83" s="263"/>
      <c r="B83" s="263"/>
      <c r="C83" s="263" t="s">
        <v>144</v>
      </c>
      <c r="D83" s="263" t="s">
        <v>61</v>
      </c>
      <c r="E83" s="263" t="s">
        <v>50</v>
      </c>
      <c r="F83" s="263" t="s">
        <v>152</v>
      </c>
      <c r="G83" s="673">
        <f>Inputs_Delivery_Effort!AG59</f>
        <v>95.287500000000037</v>
      </c>
      <c r="H83" s="673">
        <f>Inputs_Delivery_Effort!AH59</f>
        <v>95.287500000000037</v>
      </c>
      <c r="I83" s="673">
        <f>Inputs_Delivery_Effort!AI59</f>
        <v>95.287500000000037</v>
      </c>
      <c r="J83" s="673">
        <f>Inputs_Delivery_Effort!AJ59</f>
        <v>95.287500000000037</v>
      </c>
      <c r="K83" s="673">
        <f>Inputs_Delivery_Effort!AK59</f>
        <v>0</v>
      </c>
      <c r="L83" s="673">
        <f>Inputs_Delivery_Effort!AL59</f>
        <v>0</v>
      </c>
      <c r="M83" s="673">
        <f>Inputs_Delivery_Effort!AM59</f>
        <v>47.643750000000018</v>
      </c>
      <c r="N83" s="673">
        <f>Inputs_Delivery_Effort!AN59</f>
        <v>0</v>
      </c>
      <c r="O83" s="673">
        <f>Inputs_Delivery_Effort!AO59</f>
        <v>47.643750000000018</v>
      </c>
      <c r="P83" s="263"/>
    </row>
    <row r="84" spans="1:16" x14ac:dyDescent="0.25">
      <c r="A84" s="263"/>
      <c r="B84" s="263"/>
      <c r="C84" s="263" t="s">
        <v>144</v>
      </c>
      <c r="D84" s="263" t="s">
        <v>30</v>
      </c>
      <c r="E84" s="263" t="s">
        <v>50</v>
      </c>
      <c r="F84" s="263" t="s">
        <v>119</v>
      </c>
      <c r="G84" s="677">
        <f>Inputs_Delivery_Effort!AG60</f>
        <v>0</v>
      </c>
      <c r="H84" s="677">
        <f>Inputs_Delivery_Effort!AH60</f>
        <v>0</v>
      </c>
      <c r="I84" s="677">
        <f>Inputs_Delivery_Effort!AI60</f>
        <v>0</v>
      </c>
      <c r="J84" s="677">
        <f>Inputs_Delivery_Effort!AJ60</f>
        <v>0</v>
      </c>
      <c r="K84" s="677">
        <f>Inputs_Delivery_Effort!AK60</f>
        <v>0</v>
      </c>
      <c r="L84" s="677">
        <f>Inputs_Delivery_Effort!AL60</f>
        <v>0</v>
      </c>
      <c r="M84" s="677">
        <f>Inputs_Delivery_Effort!AM60</f>
        <v>0</v>
      </c>
      <c r="N84" s="677">
        <f>Inputs_Delivery_Effort!AN60</f>
        <v>0</v>
      </c>
      <c r="O84" s="677">
        <f>Inputs_Delivery_Effort!AO60</f>
        <v>0</v>
      </c>
      <c r="P84" s="263"/>
    </row>
    <row r="85" spans="1:16" x14ac:dyDescent="0.25">
      <c r="A85" s="263"/>
      <c r="B85" s="263"/>
      <c r="C85" s="263" t="s">
        <v>144</v>
      </c>
      <c r="D85" s="263" t="s">
        <v>30</v>
      </c>
      <c r="E85" s="263" t="s">
        <v>43</v>
      </c>
      <c r="F85" s="263"/>
      <c r="G85" s="675">
        <f t="shared" ref="G85:O85" si="18">(G83*IT_Consultant_Daily_Rate)+G84</f>
        <v>47643.750000000022</v>
      </c>
      <c r="H85" s="675">
        <f t="shared" si="18"/>
        <v>47643.750000000022</v>
      </c>
      <c r="I85" s="675">
        <f t="shared" si="18"/>
        <v>47643.750000000022</v>
      </c>
      <c r="J85" s="675">
        <f t="shared" si="18"/>
        <v>47643.750000000022</v>
      </c>
      <c r="K85" s="675">
        <f t="shared" si="18"/>
        <v>0</v>
      </c>
      <c r="L85" s="675">
        <f t="shared" si="18"/>
        <v>0</v>
      </c>
      <c r="M85" s="675">
        <f t="shared" si="18"/>
        <v>23821.875000000011</v>
      </c>
      <c r="N85" s="675">
        <f t="shared" si="18"/>
        <v>0</v>
      </c>
      <c r="O85" s="675">
        <f t="shared" si="18"/>
        <v>23821.875000000011</v>
      </c>
      <c r="P85" s="263"/>
    </row>
    <row r="86" spans="1:16" x14ac:dyDescent="0.25">
      <c r="A86" s="263"/>
      <c r="B86" s="263"/>
      <c r="C86" s="263"/>
      <c r="D86" s="263"/>
      <c r="E86" s="263"/>
      <c r="F86" s="263"/>
      <c r="G86" s="263"/>
      <c r="H86" s="263"/>
      <c r="I86" s="263"/>
      <c r="J86" s="263"/>
      <c r="K86" s="263"/>
      <c r="L86" s="263"/>
      <c r="M86" s="263"/>
      <c r="N86" s="263"/>
      <c r="O86" s="263"/>
      <c r="P86" s="263"/>
    </row>
    <row r="87" spans="1:16" x14ac:dyDescent="0.25">
      <c r="A87" s="263"/>
      <c r="B87" s="263"/>
      <c r="C87" s="263" t="s">
        <v>144</v>
      </c>
      <c r="D87" s="263" t="s">
        <v>49</v>
      </c>
      <c r="E87" s="263" t="s">
        <v>47</v>
      </c>
      <c r="F87" s="263" t="s">
        <v>120</v>
      </c>
      <c r="G87" s="37">
        <f>Inputs_Delivery_Effort!AG61</f>
        <v>0.2</v>
      </c>
      <c r="H87" s="37">
        <f>Inputs_Delivery_Effort!AH61</f>
        <v>0.2</v>
      </c>
      <c r="I87" s="37">
        <f>Inputs_Delivery_Effort!AI61</f>
        <v>0.2</v>
      </c>
      <c r="J87" s="37">
        <f>Inputs_Delivery_Effort!AJ61</f>
        <v>0.2</v>
      </c>
      <c r="K87" s="37">
        <f>Inputs_Delivery_Effort!AK61</f>
        <v>0.2</v>
      </c>
      <c r="L87" s="37">
        <f>Inputs_Delivery_Effort!AL61</f>
        <v>0.2</v>
      </c>
      <c r="M87" s="37">
        <f>Inputs_Delivery_Effort!AM61</f>
        <v>0.2</v>
      </c>
      <c r="N87" s="37">
        <f>Inputs_Delivery_Effort!AN61</f>
        <v>0.2</v>
      </c>
      <c r="O87" s="37">
        <f>Inputs_Delivery_Effort!AO61</f>
        <v>0.2</v>
      </c>
      <c r="P87" s="263"/>
    </row>
    <row r="88" spans="1:16" x14ac:dyDescent="0.25">
      <c r="A88" s="263"/>
      <c r="B88" s="263"/>
      <c r="C88" s="263" t="s">
        <v>144</v>
      </c>
      <c r="D88" s="263" t="s">
        <v>30</v>
      </c>
      <c r="E88" s="263" t="s">
        <v>42</v>
      </c>
      <c r="F88" s="263"/>
      <c r="G88" s="675">
        <f t="shared" ref="G88:O88" si="19">(G83*IT_Consultant_Daily_Rate)*G87</f>
        <v>9528.7500000000055</v>
      </c>
      <c r="H88" s="675">
        <f t="shared" si="19"/>
        <v>9528.7500000000055</v>
      </c>
      <c r="I88" s="675">
        <f t="shared" si="19"/>
        <v>9528.7500000000055</v>
      </c>
      <c r="J88" s="675">
        <f t="shared" si="19"/>
        <v>9528.7500000000055</v>
      </c>
      <c r="K88" s="675">
        <f t="shared" si="19"/>
        <v>0</v>
      </c>
      <c r="L88" s="675">
        <f t="shared" si="19"/>
        <v>0</v>
      </c>
      <c r="M88" s="675">
        <f t="shared" si="19"/>
        <v>4764.3750000000027</v>
      </c>
      <c r="N88" s="675">
        <f t="shared" si="19"/>
        <v>0</v>
      </c>
      <c r="O88" s="675">
        <f t="shared" si="19"/>
        <v>4764.3750000000027</v>
      </c>
      <c r="P88" s="263"/>
    </row>
    <row r="89" spans="1:16" x14ac:dyDescent="0.25">
      <c r="A89" s="263"/>
      <c r="B89" s="263"/>
      <c r="C89" s="263"/>
      <c r="D89" s="263"/>
      <c r="E89" s="263"/>
      <c r="F89" s="263"/>
      <c r="G89" s="263"/>
      <c r="H89" s="263"/>
      <c r="I89" s="263"/>
      <c r="J89" s="263"/>
      <c r="K89" s="263"/>
      <c r="L89" s="263"/>
      <c r="M89" s="263"/>
      <c r="N89" s="263"/>
      <c r="O89" s="263"/>
      <c r="P89" s="263"/>
    </row>
    <row r="90" spans="1:16" x14ac:dyDescent="0.25">
      <c r="A90" s="117"/>
      <c r="B90" s="124"/>
      <c r="C90" s="125" t="s">
        <v>114</v>
      </c>
      <c r="D90" s="125"/>
      <c r="E90" s="125"/>
      <c r="F90" s="126"/>
      <c r="G90" s="126"/>
      <c r="H90" s="126"/>
      <c r="I90" s="126"/>
      <c r="J90" s="126"/>
      <c r="K90" s="126"/>
      <c r="L90" s="126"/>
      <c r="M90" s="126"/>
      <c r="N90" s="126"/>
      <c r="O90" s="126"/>
      <c r="P90" s="263"/>
    </row>
    <row r="91" spans="1:16" x14ac:dyDescent="0.25">
      <c r="A91" s="117"/>
      <c r="B91" s="124"/>
      <c r="C91" s="124"/>
      <c r="D91" s="124"/>
      <c r="E91" s="124"/>
      <c r="F91" s="128"/>
      <c r="G91" s="128"/>
      <c r="H91" s="128"/>
      <c r="I91" s="128"/>
      <c r="J91" s="128"/>
      <c r="K91" s="128"/>
      <c r="L91" s="128"/>
      <c r="M91" s="128"/>
      <c r="N91" s="128"/>
      <c r="O91" s="128"/>
      <c r="P91" s="263"/>
    </row>
    <row r="92" spans="1:16" x14ac:dyDescent="0.25">
      <c r="A92" s="263"/>
      <c r="B92" s="263"/>
      <c r="C92" s="263" t="s">
        <v>114</v>
      </c>
      <c r="D92" s="263" t="s">
        <v>61</v>
      </c>
      <c r="E92" s="263" t="s">
        <v>50</v>
      </c>
      <c r="F92" s="263" t="s">
        <v>152</v>
      </c>
      <c r="G92" s="673">
        <f>Inputs_Delivery_Effort!AG62</f>
        <v>0</v>
      </c>
      <c r="H92" s="673">
        <f>Inputs_Delivery_Effort!AH62</f>
        <v>0</v>
      </c>
      <c r="I92" s="673">
        <f>Inputs_Delivery_Effort!AI62</f>
        <v>0</v>
      </c>
      <c r="J92" s="673">
        <f>Inputs_Delivery_Effort!AJ62</f>
        <v>0</v>
      </c>
      <c r="K92" s="673">
        <f>Inputs_Delivery_Effort!AK62</f>
        <v>0</v>
      </c>
      <c r="L92" s="673">
        <f>Inputs_Delivery_Effort!AL62</f>
        <v>0</v>
      </c>
      <c r="M92" s="673">
        <f>Inputs_Delivery_Effort!AM62</f>
        <v>0</v>
      </c>
      <c r="N92" s="673">
        <f>Inputs_Delivery_Effort!AN62</f>
        <v>0</v>
      </c>
      <c r="O92" s="673">
        <f>Inputs_Delivery_Effort!AO62</f>
        <v>0</v>
      </c>
      <c r="P92" s="263"/>
    </row>
    <row r="93" spans="1:16" x14ac:dyDescent="0.25">
      <c r="A93" s="263"/>
      <c r="B93" s="263"/>
      <c r="C93" s="263" t="s">
        <v>114</v>
      </c>
      <c r="D93" s="263" t="s">
        <v>30</v>
      </c>
      <c r="E93" s="263" t="s">
        <v>50</v>
      </c>
      <c r="F93" s="263" t="s">
        <v>119</v>
      </c>
      <c r="G93" s="677">
        <f>Inputs_Delivery_Effort!AG63</f>
        <v>0</v>
      </c>
      <c r="H93" s="677">
        <f>Inputs_Delivery_Effort!AH63</f>
        <v>0</v>
      </c>
      <c r="I93" s="677">
        <f>Inputs_Delivery_Effort!AI63</f>
        <v>0</v>
      </c>
      <c r="J93" s="677">
        <f>Inputs_Delivery_Effort!AJ63</f>
        <v>0</v>
      </c>
      <c r="K93" s="677">
        <f>Inputs_Delivery_Effort!AK63</f>
        <v>0</v>
      </c>
      <c r="L93" s="677">
        <f>Inputs_Delivery_Effort!AL63</f>
        <v>0</v>
      </c>
      <c r="M93" s="677">
        <f>Inputs_Delivery_Effort!AM63</f>
        <v>0</v>
      </c>
      <c r="N93" s="677">
        <f>Inputs_Delivery_Effort!AN63</f>
        <v>0</v>
      </c>
      <c r="O93" s="677">
        <f>Inputs_Delivery_Effort!AO63</f>
        <v>0</v>
      </c>
      <c r="P93" s="263"/>
    </row>
    <row r="94" spans="1:16" x14ac:dyDescent="0.25">
      <c r="A94" s="263"/>
      <c r="B94" s="263"/>
      <c r="C94" s="263" t="s">
        <v>114</v>
      </c>
      <c r="D94" s="263" t="s">
        <v>30</v>
      </c>
      <c r="E94" s="263" t="s">
        <v>43</v>
      </c>
      <c r="F94" s="263"/>
      <c r="G94" s="675">
        <f t="shared" ref="G94:O94" si="20">(G92*IT_Consultant_Daily_Rate)+G93</f>
        <v>0</v>
      </c>
      <c r="H94" s="675">
        <f t="shared" si="20"/>
        <v>0</v>
      </c>
      <c r="I94" s="675">
        <f t="shared" si="20"/>
        <v>0</v>
      </c>
      <c r="J94" s="675">
        <f t="shared" si="20"/>
        <v>0</v>
      </c>
      <c r="K94" s="675">
        <f t="shared" si="20"/>
        <v>0</v>
      </c>
      <c r="L94" s="675">
        <f t="shared" si="20"/>
        <v>0</v>
      </c>
      <c r="M94" s="675">
        <f t="shared" si="20"/>
        <v>0</v>
      </c>
      <c r="N94" s="675">
        <f t="shared" si="20"/>
        <v>0</v>
      </c>
      <c r="O94" s="675">
        <f t="shared" si="20"/>
        <v>0</v>
      </c>
      <c r="P94" s="263"/>
    </row>
    <row r="95" spans="1:16" x14ac:dyDescent="0.25">
      <c r="A95" s="263"/>
      <c r="B95" s="263"/>
      <c r="C95" s="263"/>
      <c r="D95" s="263"/>
      <c r="E95" s="263"/>
      <c r="F95" s="263"/>
      <c r="G95" s="263"/>
      <c r="H95" s="263"/>
      <c r="I95" s="263"/>
      <c r="J95" s="263"/>
      <c r="K95" s="263"/>
      <c r="L95" s="263"/>
      <c r="M95" s="263"/>
      <c r="N95" s="263"/>
      <c r="O95" s="263"/>
      <c r="P95" s="263"/>
    </row>
    <row r="96" spans="1:16" x14ac:dyDescent="0.25">
      <c r="A96" s="263"/>
      <c r="B96" s="263"/>
      <c r="C96" s="263" t="s">
        <v>114</v>
      </c>
      <c r="D96" s="263" t="s">
        <v>49</v>
      </c>
      <c r="E96" s="263" t="s">
        <v>47</v>
      </c>
      <c r="F96" s="263" t="s">
        <v>120</v>
      </c>
      <c r="G96" s="37">
        <f>Inputs_Delivery_Effort!AG64</f>
        <v>0.2</v>
      </c>
      <c r="H96" s="37">
        <f>Inputs_Delivery_Effort!AH64</f>
        <v>0.2</v>
      </c>
      <c r="I96" s="37">
        <f>Inputs_Delivery_Effort!AI64</f>
        <v>0.2</v>
      </c>
      <c r="J96" s="37">
        <f>Inputs_Delivery_Effort!AJ64</f>
        <v>0.2</v>
      </c>
      <c r="K96" s="37">
        <f>Inputs_Delivery_Effort!AK64</f>
        <v>0.2</v>
      </c>
      <c r="L96" s="37">
        <f>Inputs_Delivery_Effort!AL64</f>
        <v>0.2</v>
      </c>
      <c r="M96" s="37">
        <f>Inputs_Delivery_Effort!AM64</f>
        <v>0.2</v>
      </c>
      <c r="N96" s="37">
        <f>Inputs_Delivery_Effort!AN64</f>
        <v>0.2</v>
      </c>
      <c r="O96" s="37">
        <f>Inputs_Delivery_Effort!AO64</f>
        <v>0.2</v>
      </c>
      <c r="P96" s="263"/>
    </row>
    <row r="97" spans="1:16" x14ac:dyDescent="0.25">
      <c r="A97" s="263"/>
      <c r="B97" s="263"/>
      <c r="C97" s="263" t="s">
        <v>114</v>
      </c>
      <c r="D97" s="263" t="s">
        <v>30</v>
      </c>
      <c r="E97" s="263" t="s">
        <v>42</v>
      </c>
      <c r="F97" s="263"/>
      <c r="G97" s="675">
        <f t="shared" ref="G97:O97" si="21">(G92*IT_Consultant_Daily_Rate)*G96</f>
        <v>0</v>
      </c>
      <c r="H97" s="675">
        <f t="shared" si="21"/>
        <v>0</v>
      </c>
      <c r="I97" s="675">
        <f t="shared" si="21"/>
        <v>0</v>
      </c>
      <c r="J97" s="675">
        <f t="shared" si="21"/>
        <v>0</v>
      </c>
      <c r="K97" s="675">
        <f t="shared" si="21"/>
        <v>0</v>
      </c>
      <c r="L97" s="675">
        <f t="shared" si="21"/>
        <v>0</v>
      </c>
      <c r="M97" s="675">
        <f t="shared" si="21"/>
        <v>0</v>
      </c>
      <c r="N97" s="675">
        <f t="shared" si="21"/>
        <v>0</v>
      </c>
      <c r="O97" s="675">
        <f t="shared" si="21"/>
        <v>0</v>
      </c>
      <c r="P97" s="263"/>
    </row>
    <row r="98" spans="1:16" x14ac:dyDescent="0.25">
      <c r="A98" s="263"/>
      <c r="B98" s="263"/>
      <c r="C98" s="263"/>
      <c r="D98" s="263"/>
      <c r="E98" s="263"/>
      <c r="F98" s="263"/>
      <c r="G98" s="263"/>
      <c r="H98" s="263"/>
      <c r="I98" s="263"/>
      <c r="J98" s="263"/>
      <c r="K98" s="263"/>
      <c r="L98" s="263"/>
      <c r="M98" s="263"/>
      <c r="N98" s="263"/>
      <c r="O98" s="263"/>
      <c r="P98" s="263"/>
    </row>
    <row r="99" spans="1:16" x14ac:dyDescent="0.25">
      <c r="A99" s="117"/>
      <c r="B99" s="124"/>
      <c r="C99" s="125" t="s">
        <v>112</v>
      </c>
      <c r="D99" s="125"/>
      <c r="E99" s="125"/>
      <c r="F99" s="126"/>
      <c r="G99" s="126"/>
      <c r="H99" s="126"/>
      <c r="I99" s="126"/>
      <c r="J99" s="126"/>
      <c r="K99" s="126"/>
      <c r="L99" s="126"/>
      <c r="M99" s="126"/>
      <c r="N99" s="126"/>
      <c r="O99" s="126"/>
      <c r="P99" s="263"/>
    </row>
    <row r="100" spans="1:16" x14ac:dyDescent="0.25">
      <c r="A100" s="117"/>
      <c r="B100" s="124"/>
      <c r="C100" s="124"/>
      <c r="D100" s="124"/>
      <c r="E100" s="124"/>
      <c r="F100" s="128"/>
      <c r="G100" s="128"/>
      <c r="H100" s="128"/>
      <c r="I100" s="128"/>
      <c r="J100" s="128"/>
      <c r="K100" s="128"/>
      <c r="L100" s="128"/>
      <c r="M100" s="128"/>
      <c r="N100" s="128"/>
      <c r="O100" s="128"/>
      <c r="P100" s="263"/>
    </row>
    <row r="101" spans="1:16" x14ac:dyDescent="0.25">
      <c r="A101" s="263"/>
      <c r="B101" s="263"/>
      <c r="C101" s="263" t="s">
        <v>112</v>
      </c>
      <c r="D101" s="263" t="s">
        <v>61</v>
      </c>
      <c r="E101" s="263" t="s">
        <v>50</v>
      </c>
      <c r="F101" s="263" t="s">
        <v>152</v>
      </c>
      <c r="G101" s="673">
        <f>Inputs_Delivery_Effort!AG65</f>
        <v>6.6000000000000005</v>
      </c>
      <c r="H101" s="673">
        <f>Inputs_Delivery_Effort!AH65</f>
        <v>6.6000000000000005</v>
      </c>
      <c r="I101" s="673">
        <f>Inputs_Delivery_Effort!AI65</f>
        <v>6.6000000000000005</v>
      </c>
      <c r="J101" s="673">
        <f>Inputs_Delivery_Effort!AJ65</f>
        <v>6.6000000000000005</v>
      </c>
      <c r="K101" s="673">
        <f>Inputs_Delivery_Effort!AK65</f>
        <v>0</v>
      </c>
      <c r="L101" s="673">
        <f>Inputs_Delivery_Effort!AL65</f>
        <v>0</v>
      </c>
      <c r="M101" s="673">
        <f>Inputs_Delivery_Effort!AM65</f>
        <v>3.3000000000000003</v>
      </c>
      <c r="N101" s="673">
        <f>Inputs_Delivery_Effort!AN65</f>
        <v>0</v>
      </c>
      <c r="O101" s="673">
        <f>Inputs_Delivery_Effort!AO65</f>
        <v>3.3000000000000003</v>
      </c>
      <c r="P101" s="263"/>
    </row>
    <row r="102" spans="1:16" x14ac:dyDescent="0.25">
      <c r="A102" s="263"/>
      <c r="B102" s="263"/>
      <c r="C102" s="263" t="s">
        <v>112</v>
      </c>
      <c r="D102" s="263" t="s">
        <v>30</v>
      </c>
      <c r="E102" s="263" t="s">
        <v>50</v>
      </c>
      <c r="F102" s="263" t="s">
        <v>119</v>
      </c>
      <c r="G102" s="677">
        <f>Inputs_Delivery_Effort!AG66</f>
        <v>0</v>
      </c>
      <c r="H102" s="677">
        <f>Inputs_Delivery_Effort!AH66</f>
        <v>0</v>
      </c>
      <c r="I102" s="677">
        <f>Inputs_Delivery_Effort!AI66</f>
        <v>0</v>
      </c>
      <c r="J102" s="677">
        <f>Inputs_Delivery_Effort!AJ66</f>
        <v>0</v>
      </c>
      <c r="K102" s="677">
        <f>Inputs_Delivery_Effort!AK66</f>
        <v>0</v>
      </c>
      <c r="L102" s="677">
        <f>Inputs_Delivery_Effort!AL66</f>
        <v>0</v>
      </c>
      <c r="M102" s="677">
        <f>Inputs_Delivery_Effort!AM66</f>
        <v>0</v>
      </c>
      <c r="N102" s="677">
        <f>Inputs_Delivery_Effort!AN66</f>
        <v>0</v>
      </c>
      <c r="O102" s="677">
        <f>Inputs_Delivery_Effort!AO66</f>
        <v>0</v>
      </c>
      <c r="P102" s="263"/>
    </row>
    <row r="103" spans="1:16" x14ac:dyDescent="0.25">
      <c r="A103" s="263"/>
      <c r="B103" s="263"/>
      <c r="C103" s="263" t="s">
        <v>112</v>
      </c>
      <c r="D103" s="263" t="s">
        <v>30</v>
      </c>
      <c r="E103" s="263" t="s">
        <v>43</v>
      </c>
      <c r="F103" s="263"/>
      <c r="G103" s="675">
        <f t="shared" ref="G103:O103" si="22">(G101*IT_Consultant_Daily_Rate)+G102</f>
        <v>3300.0000000000005</v>
      </c>
      <c r="H103" s="675">
        <f t="shared" si="22"/>
        <v>3300.0000000000005</v>
      </c>
      <c r="I103" s="675">
        <f t="shared" si="22"/>
        <v>3300.0000000000005</v>
      </c>
      <c r="J103" s="675">
        <f t="shared" si="22"/>
        <v>3300.0000000000005</v>
      </c>
      <c r="K103" s="675">
        <f t="shared" si="22"/>
        <v>0</v>
      </c>
      <c r="L103" s="675">
        <f t="shared" si="22"/>
        <v>0</v>
      </c>
      <c r="M103" s="675">
        <f t="shared" si="22"/>
        <v>1650.0000000000002</v>
      </c>
      <c r="N103" s="675">
        <f t="shared" si="22"/>
        <v>0</v>
      </c>
      <c r="O103" s="675">
        <f t="shared" si="22"/>
        <v>1650.0000000000002</v>
      </c>
      <c r="P103" s="263"/>
    </row>
    <row r="104" spans="1:16" x14ac:dyDescent="0.25">
      <c r="A104" s="263"/>
      <c r="B104" s="263"/>
      <c r="C104" s="263"/>
      <c r="D104" s="263"/>
      <c r="E104" s="263"/>
      <c r="F104" s="263"/>
      <c r="G104" s="263"/>
      <c r="H104" s="263"/>
      <c r="I104" s="263"/>
      <c r="J104" s="263"/>
      <c r="K104" s="263"/>
      <c r="L104" s="263"/>
      <c r="M104" s="263"/>
      <c r="N104" s="263"/>
      <c r="O104" s="263"/>
      <c r="P104" s="263"/>
    </row>
    <row r="105" spans="1:16" x14ac:dyDescent="0.25">
      <c r="A105" s="263"/>
      <c r="B105" s="263"/>
      <c r="C105" s="263" t="s">
        <v>112</v>
      </c>
      <c r="D105" s="263" t="s">
        <v>49</v>
      </c>
      <c r="E105" s="263" t="s">
        <v>47</v>
      </c>
      <c r="F105" s="263" t="s">
        <v>120</v>
      </c>
      <c r="G105" s="37">
        <f>Inputs_Delivery_Effort!AG67</f>
        <v>0.2</v>
      </c>
      <c r="H105" s="37">
        <f>Inputs_Delivery_Effort!AH67</f>
        <v>0.2</v>
      </c>
      <c r="I105" s="37">
        <f>Inputs_Delivery_Effort!AI67</f>
        <v>0.2</v>
      </c>
      <c r="J105" s="37">
        <f>Inputs_Delivery_Effort!AJ67</f>
        <v>0.2</v>
      </c>
      <c r="K105" s="37">
        <f>Inputs_Delivery_Effort!AK67</f>
        <v>0.2</v>
      </c>
      <c r="L105" s="37">
        <f>Inputs_Delivery_Effort!AL67</f>
        <v>0.2</v>
      </c>
      <c r="M105" s="37">
        <f>Inputs_Delivery_Effort!AM67</f>
        <v>0.2</v>
      </c>
      <c r="N105" s="37">
        <f>Inputs_Delivery_Effort!AN67</f>
        <v>0.2</v>
      </c>
      <c r="O105" s="37">
        <f>Inputs_Delivery_Effort!AO67</f>
        <v>0.2</v>
      </c>
      <c r="P105" s="263"/>
    </row>
    <row r="106" spans="1:16" x14ac:dyDescent="0.25">
      <c r="A106" s="263"/>
      <c r="B106" s="263"/>
      <c r="C106" s="263" t="s">
        <v>112</v>
      </c>
      <c r="D106" s="263" t="s">
        <v>30</v>
      </c>
      <c r="E106" s="263" t="s">
        <v>42</v>
      </c>
      <c r="F106" s="263"/>
      <c r="G106" s="675">
        <f t="shared" ref="G106:O106" si="23">(G101*IT_Consultant_Daily_Rate)*G105</f>
        <v>660.00000000000011</v>
      </c>
      <c r="H106" s="675">
        <f t="shared" si="23"/>
        <v>660.00000000000011</v>
      </c>
      <c r="I106" s="675">
        <f t="shared" si="23"/>
        <v>660.00000000000011</v>
      </c>
      <c r="J106" s="675">
        <f t="shared" si="23"/>
        <v>660.00000000000011</v>
      </c>
      <c r="K106" s="675">
        <f t="shared" si="23"/>
        <v>0</v>
      </c>
      <c r="L106" s="675">
        <f t="shared" si="23"/>
        <v>0</v>
      </c>
      <c r="M106" s="675">
        <f t="shared" si="23"/>
        <v>330.00000000000006</v>
      </c>
      <c r="N106" s="675">
        <f t="shared" si="23"/>
        <v>0</v>
      </c>
      <c r="O106" s="675">
        <f t="shared" si="23"/>
        <v>330.00000000000006</v>
      </c>
      <c r="P106" s="263"/>
    </row>
    <row r="107" spans="1:16" x14ac:dyDescent="0.25">
      <c r="A107" s="263"/>
      <c r="B107" s="263"/>
      <c r="C107" s="263"/>
      <c r="D107" s="263"/>
      <c r="E107" s="263"/>
      <c r="F107" s="263"/>
      <c r="G107" s="263"/>
      <c r="H107" s="263"/>
      <c r="I107" s="263"/>
      <c r="J107" s="263"/>
      <c r="K107" s="263"/>
      <c r="L107" s="263"/>
      <c r="M107" s="263"/>
      <c r="N107" s="263"/>
      <c r="O107" s="263"/>
      <c r="P107" s="263"/>
    </row>
    <row r="108" spans="1:16" x14ac:dyDescent="0.25">
      <c r="A108" s="117"/>
      <c r="B108" s="124"/>
      <c r="C108" s="125" t="s">
        <v>148</v>
      </c>
      <c r="D108" s="125"/>
      <c r="E108" s="125"/>
      <c r="F108" s="126"/>
      <c r="G108" s="126"/>
      <c r="H108" s="126"/>
      <c r="I108" s="126"/>
      <c r="J108" s="126"/>
      <c r="K108" s="126"/>
      <c r="L108" s="126"/>
      <c r="M108" s="126"/>
      <c r="N108" s="126"/>
      <c r="O108" s="126"/>
      <c r="P108" s="263"/>
    </row>
    <row r="109" spans="1:16" x14ac:dyDescent="0.25">
      <c r="A109" s="117"/>
      <c r="B109" s="124"/>
      <c r="C109" s="124"/>
      <c r="D109" s="124"/>
      <c r="E109" s="124"/>
      <c r="F109" s="128"/>
      <c r="G109" s="128"/>
      <c r="H109" s="128"/>
      <c r="I109" s="128"/>
      <c r="J109" s="128"/>
      <c r="K109" s="128"/>
      <c r="L109" s="128"/>
      <c r="M109" s="128"/>
      <c r="N109" s="128"/>
      <c r="O109" s="128"/>
      <c r="P109" s="263"/>
    </row>
    <row r="110" spans="1:16" x14ac:dyDescent="0.25">
      <c r="A110" s="263"/>
      <c r="B110" s="263"/>
      <c r="C110" s="263" t="s">
        <v>148</v>
      </c>
      <c r="D110" s="263" t="s">
        <v>61</v>
      </c>
      <c r="E110" s="263" t="s">
        <v>50</v>
      </c>
      <c r="F110" s="263" t="s">
        <v>151</v>
      </c>
      <c r="G110" s="673">
        <f>Inputs_Delivery_Effort!AG68</f>
        <v>33</v>
      </c>
      <c r="H110" s="673">
        <f>Inputs_Delivery_Effort!AH68</f>
        <v>33</v>
      </c>
      <c r="I110" s="673">
        <f>Inputs_Delivery_Effort!AI68</f>
        <v>33</v>
      </c>
      <c r="J110" s="673">
        <f>Inputs_Delivery_Effort!AJ68</f>
        <v>33</v>
      </c>
      <c r="K110" s="673">
        <f>Inputs_Delivery_Effort!AK68</f>
        <v>0</v>
      </c>
      <c r="L110" s="673">
        <f>Inputs_Delivery_Effort!AL68</f>
        <v>0</v>
      </c>
      <c r="M110" s="673">
        <f>Inputs_Delivery_Effort!AM68</f>
        <v>16.5</v>
      </c>
      <c r="N110" s="673">
        <f>Inputs_Delivery_Effort!AN68</f>
        <v>0</v>
      </c>
      <c r="O110" s="673">
        <f>Inputs_Delivery_Effort!AO68</f>
        <v>16.5</v>
      </c>
      <c r="P110" s="263"/>
    </row>
    <row r="111" spans="1:16" x14ac:dyDescent="0.25">
      <c r="A111" s="263"/>
      <c r="B111" s="263"/>
      <c r="C111" s="263" t="s">
        <v>148</v>
      </c>
      <c r="D111" s="263" t="s">
        <v>30</v>
      </c>
      <c r="E111" s="263" t="s">
        <v>50</v>
      </c>
      <c r="F111" s="263" t="s">
        <v>119</v>
      </c>
      <c r="G111" s="677">
        <f>Inputs_Delivery_Effort!AG69</f>
        <v>0</v>
      </c>
      <c r="H111" s="677">
        <f>Inputs_Delivery_Effort!AH69</f>
        <v>0</v>
      </c>
      <c r="I111" s="677">
        <f>Inputs_Delivery_Effort!AI69</f>
        <v>0</v>
      </c>
      <c r="J111" s="677">
        <f>Inputs_Delivery_Effort!AJ69</f>
        <v>0</v>
      </c>
      <c r="K111" s="677">
        <f>Inputs_Delivery_Effort!AK69</f>
        <v>0</v>
      </c>
      <c r="L111" s="677">
        <f>Inputs_Delivery_Effort!AL69</f>
        <v>0</v>
      </c>
      <c r="M111" s="677">
        <f>Inputs_Delivery_Effort!AM69</f>
        <v>0</v>
      </c>
      <c r="N111" s="677">
        <f>Inputs_Delivery_Effort!AN69</f>
        <v>0</v>
      </c>
      <c r="O111" s="677">
        <f>Inputs_Delivery_Effort!AO69</f>
        <v>0</v>
      </c>
      <c r="P111" s="263"/>
    </row>
    <row r="112" spans="1:16" x14ac:dyDescent="0.25">
      <c r="A112" s="263"/>
      <c r="B112" s="263"/>
      <c r="C112" s="263" t="s">
        <v>148</v>
      </c>
      <c r="D112" s="263" t="s">
        <v>30</v>
      </c>
      <c r="E112" s="263" t="s">
        <v>43</v>
      </c>
      <c r="F112" s="263"/>
      <c r="G112" s="675">
        <f t="shared" ref="G112:O112" si="24">(G110*IT_Consultant_Daily_Rate)+G111</f>
        <v>16500</v>
      </c>
      <c r="H112" s="675">
        <f t="shared" si="24"/>
        <v>16500</v>
      </c>
      <c r="I112" s="675">
        <f t="shared" si="24"/>
        <v>16500</v>
      </c>
      <c r="J112" s="675">
        <f t="shared" si="24"/>
        <v>16500</v>
      </c>
      <c r="K112" s="675">
        <f t="shared" si="24"/>
        <v>0</v>
      </c>
      <c r="L112" s="675">
        <f t="shared" si="24"/>
        <v>0</v>
      </c>
      <c r="M112" s="675">
        <f t="shared" si="24"/>
        <v>8250</v>
      </c>
      <c r="N112" s="675">
        <f t="shared" si="24"/>
        <v>0</v>
      </c>
      <c r="O112" s="675">
        <f t="shared" si="24"/>
        <v>8250</v>
      </c>
      <c r="P112" s="263"/>
    </row>
    <row r="113" spans="1:16" x14ac:dyDescent="0.25">
      <c r="A113" s="263"/>
      <c r="B113" s="263"/>
      <c r="C113" s="263"/>
      <c r="D113" s="263"/>
      <c r="E113" s="263"/>
      <c r="F113" s="263"/>
      <c r="G113" s="263"/>
      <c r="H113" s="263"/>
      <c r="I113" s="263"/>
      <c r="J113" s="263"/>
      <c r="K113" s="263"/>
      <c r="L113" s="263"/>
      <c r="M113" s="263"/>
      <c r="N113" s="263"/>
      <c r="O113" s="263"/>
      <c r="P113" s="263"/>
    </row>
    <row r="114" spans="1:16" x14ac:dyDescent="0.25">
      <c r="A114" s="263"/>
      <c r="B114" s="263"/>
      <c r="C114" s="263" t="s">
        <v>148</v>
      </c>
      <c r="D114" s="263" t="s">
        <v>49</v>
      </c>
      <c r="E114" s="263" t="s">
        <v>47</v>
      </c>
      <c r="F114" s="263" t="s">
        <v>120</v>
      </c>
      <c r="G114" s="37">
        <f>Inputs_Delivery_Effort!AG70</f>
        <v>0.2</v>
      </c>
      <c r="H114" s="37">
        <f>Inputs_Delivery_Effort!AH70</f>
        <v>0.2</v>
      </c>
      <c r="I114" s="37">
        <f>Inputs_Delivery_Effort!AI70</f>
        <v>0.2</v>
      </c>
      <c r="J114" s="37">
        <f>Inputs_Delivery_Effort!AJ70</f>
        <v>0.2</v>
      </c>
      <c r="K114" s="37">
        <f>Inputs_Delivery_Effort!AK70</f>
        <v>0.2</v>
      </c>
      <c r="L114" s="37">
        <f>Inputs_Delivery_Effort!AL70</f>
        <v>0.2</v>
      </c>
      <c r="M114" s="37">
        <f>Inputs_Delivery_Effort!AM70</f>
        <v>0.2</v>
      </c>
      <c r="N114" s="37">
        <f>Inputs_Delivery_Effort!AN70</f>
        <v>0.2</v>
      </c>
      <c r="O114" s="37">
        <f>Inputs_Delivery_Effort!AO70</f>
        <v>0.2</v>
      </c>
      <c r="P114" s="263"/>
    </row>
    <row r="115" spans="1:16" x14ac:dyDescent="0.25">
      <c r="A115" s="263"/>
      <c r="B115" s="263"/>
      <c r="C115" s="263" t="s">
        <v>148</v>
      </c>
      <c r="D115" s="263" t="s">
        <v>30</v>
      </c>
      <c r="E115" s="263" t="s">
        <v>42</v>
      </c>
      <c r="F115" s="263"/>
      <c r="G115" s="675">
        <f t="shared" ref="G115:O115" si="25">(G110*IT_Consultant_Daily_Rate)*G114</f>
        <v>3300</v>
      </c>
      <c r="H115" s="675">
        <f t="shared" si="25"/>
        <v>3300</v>
      </c>
      <c r="I115" s="675">
        <f t="shared" si="25"/>
        <v>3300</v>
      </c>
      <c r="J115" s="675">
        <f t="shared" si="25"/>
        <v>3300</v>
      </c>
      <c r="K115" s="675">
        <f t="shared" si="25"/>
        <v>0</v>
      </c>
      <c r="L115" s="675">
        <f t="shared" si="25"/>
        <v>0</v>
      </c>
      <c r="M115" s="675">
        <f t="shared" si="25"/>
        <v>1650</v>
      </c>
      <c r="N115" s="675">
        <f t="shared" si="25"/>
        <v>0</v>
      </c>
      <c r="O115" s="675">
        <f t="shared" si="25"/>
        <v>1650</v>
      </c>
      <c r="P115" s="263"/>
    </row>
    <row r="116" spans="1:16" x14ac:dyDescent="0.25">
      <c r="A116" s="263"/>
      <c r="B116" s="263"/>
      <c r="C116" s="263"/>
      <c r="D116" s="263"/>
      <c r="E116" s="263"/>
      <c r="F116" s="263"/>
      <c r="G116" s="263"/>
      <c r="H116" s="263"/>
      <c r="I116" s="263"/>
      <c r="J116" s="263"/>
      <c r="K116" s="263"/>
      <c r="L116" s="263"/>
      <c r="M116" s="263"/>
      <c r="N116" s="263"/>
      <c r="O116" s="263"/>
      <c r="P116" s="263"/>
    </row>
    <row r="117" spans="1:16" x14ac:dyDescent="0.25">
      <c r="A117" s="117"/>
      <c r="B117" s="124"/>
      <c r="C117" s="125" t="s">
        <v>157</v>
      </c>
      <c r="D117" s="125"/>
      <c r="E117" s="125"/>
      <c r="F117" s="126"/>
      <c r="G117" s="126"/>
      <c r="H117" s="126"/>
      <c r="I117" s="126"/>
      <c r="J117" s="126"/>
      <c r="K117" s="126"/>
      <c r="L117" s="126"/>
      <c r="M117" s="126"/>
      <c r="N117" s="126"/>
      <c r="O117" s="126"/>
      <c r="P117" s="263"/>
    </row>
    <row r="118" spans="1:16" x14ac:dyDescent="0.25">
      <c r="A118" s="117"/>
      <c r="B118" s="124"/>
      <c r="C118" s="124"/>
      <c r="D118" s="124"/>
      <c r="E118" s="124"/>
      <c r="F118" s="128"/>
      <c r="G118" s="128"/>
      <c r="H118" s="128"/>
      <c r="I118" s="128"/>
      <c r="J118" s="128"/>
      <c r="K118" s="128"/>
      <c r="L118" s="128"/>
      <c r="M118" s="128"/>
      <c r="N118" s="128"/>
      <c r="O118" s="128"/>
      <c r="P118" s="263"/>
    </row>
    <row r="119" spans="1:16" x14ac:dyDescent="0.25">
      <c r="A119" s="263"/>
      <c r="B119" s="263"/>
      <c r="C119" s="263" t="s">
        <v>157</v>
      </c>
      <c r="D119" s="263" t="s">
        <v>61</v>
      </c>
      <c r="E119" s="263" t="s">
        <v>50</v>
      </c>
      <c r="F119" s="263" t="s">
        <v>152</v>
      </c>
      <c r="G119" s="673">
        <f>Inputs_Delivery_Effort!AG71</f>
        <v>95.287500000000037</v>
      </c>
      <c r="H119" s="673">
        <f>Inputs_Delivery_Effort!AH71</f>
        <v>95.287500000000037</v>
      </c>
      <c r="I119" s="673">
        <f>Inputs_Delivery_Effort!AI71</f>
        <v>95.287500000000037</v>
      </c>
      <c r="J119" s="673">
        <f>Inputs_Delivery_Effort!AJ71</f>
        <v>95.287500000000037</v>
      </c>
      <c r="K119" s="673">
        <f>Inputs_Delivery_Effort!AK71</f>
        <v>0</v>
      </c>
      <c r="L119" s="673">
        <f>Inputs_Delivery_Effort!AL71</f>
        <v>0</v>
      </c>
      <c r="M119" s="673">
        <f>Inputs_Delivery_Effort!AM71</f>
        <v>47.643750000000018</v>
      </c>
      <c r="N119" s="673">
        <f>Inputs_Delivery_Effort!AN71</f>
        <v>0</v>
      </c>
      <c r="O119" s="673">
        <f>Inputs_Delivery_Effort!AO71</f>
        <v>47.643750000000018</v>
      </c>
      <c r="P119" s="263"/>
    </row>
    <row r="120" spans="1:16" x14ac:dyDescent="0.25">
      <c r="A120" s="263"/>
      <c r="B120" s="263"/>
      <c r="C120" s="263" t="s">
        <v>157</v>
      </c>
      <c r="D120" s="263" t="s">
        <v>30</v>
      </c>
      <c r="E120" s="263" t="s">
        <v>50</v>
      </c>
      <c r="F120" s="263" t="s">
        <v>119</v>
      </c>
      <c r="G120" s="677">
        <f>Inputs_Delivery_Effort!AG72</f>
        <v>39999.999999999993</v>
      </c>
      <c r="H120" s="677">
        <f>Inputs_Delivery_Effort!AH72</f>
        <v>39999.999999999993</v>
      </c>
      <c r="I120" s="677">
        <f>Inputs_Delivery_Effort!AI72</f>
        <v>39999.999999999993</v>
      </c>
      <c r="J120" s="677">
        <f>Inputs_Delivery_Effort!AJ72</f>
        <v>39999.999999999993</v>
      </c>
      <c r="K120" s="677">
        <f>Inputs_Delivery_Effort!AK72</f>
        <v>0</v>
      </c>
      <c r="L120" s="677">
        <f>Inputs_Delivery_Effort!AL72</f>
        <v>0</v>
      </c>
      <c r="M120" s="677">
        <f>Inputs_Delivery_Effort!AM72</f>
        <v>19999.999999999996</v>
      </c>
      <c r="N120" s="677">
        <f>Inputs_Delivery_Effort!AN72</f>
        <v>0</v>
      </c>
      <c r="O120" s="677">
        <f>Inputs_Delivery_Effort!AO72</f>
        <v>19999.999999999996</v>
      </c>
      <c r="P120" s="263"/>
    </row>
    <row r="121" spans="1:16" x14ac:dyDescent="0.25">
      <c r="A121" s="263"/>
      <c r="B121" s="263"/>
      <c r="C121" s="263" t="s">
        <v>157</v>
      </c>
      <c r="D121" s="263" t="s">
        <v>30</v>
      </c>
      <c r="E121" s="263" t="s">
        <v>43</v>
      </c>
      <c r="F121" s="263"/>
      <c r="G121" s="675">
        <f t="shared" ref="G121:O121" si="26">(G119*IT_Consultant_Daily_Rate)+G120</f>
        <v>87643.750000000015</v>
      </c>
      <c r="H121" s="675">
        <f t="shared" si="26"/>
        <v>87643.750000000015</v>
      </c>
      <c r="I121" s="675">
        <f t="shared" si="26"/>
        <v>87643.750000000015</v>
      </c>
      <c r="J121" s="675">
        <f t="shared" si="26"/>
        <v>87643.750000000015</v>
      </c>
      <c r="K121" s="675">
        <f t="shared" si="26"/>
        <v>0</v>
      </c>
      <c r="L121" s="675">
        <f t="shared" si="26"/>
        <v>0</v>
      </c>
      <c r="M121" s="675">
        <f t="shared" si="26"/>
        <v>43821.875000000007</v>
      </c>
      <c r="N121" s="675">
        <f t="shared" si="26"/>
        <v>0</v>
      </c>
      <c r="O121" s="675">
        <f t="shared" si="26"/>
        <v>43821.875000000007</v>
      </c>
      <c r="P121" s="263"/>
    </row>
    <row r="122" spans="1:16" x14ac:dyDescent="0.25">
      <c r="A122" s="263"/>
      <c r="B122" s="263"/>
      <c r="C122" s="263"/>
      <c r="D122" s="263"/>
      <c r="E122" s="263"/>
      <c r="F122" s="263"/>
      <c r="G122" s="263"/>
      <c r="H122" s="263"/>
      <c r="I122" s="263"/>
      <c r="J122" s="263"/>
      <c r="K122" s="263"/>
      <c r="L122" s="263"/>
      <c r="M122" s="263"/>
      <c r="N122" s="263"/>
      <c r="O122" s="263"/>
      <c r="P122" s="263"/>
    </row>
    <row r="123" spans="1:16" x14ac:dyDescent="0.25">
      <c r="A123" s="263"/>
      <c r="B123" s="263"/>
      <c r="C123" s="263" t="s">
        <v>157</v>
      </c>
      <c r="D123" s="263" t="s">
        <v>49</v>
      </c>
      <c r="E123" s="263" t="s">
        <v>47</v>
      </c>
      <c r="F123" s="263" t="s">
        <v>120</v>
      </c>
      <c r="G123" s="37">
        <f>Inputs_Delivery_Effort!AG73</f>
        <v>0.2</v>
      </c>
      <c r="H123" s="37">
        <f>Inputs_Delivery_Effort!AH73</f>
        <v>0.2</v>
      </c>
      <c r="I123" s="37">
        <f>Inputs_Delivery_Effort!AI73</f>
        <v>0.2</v>
      </c>
      <c r="J123" s="37">
        <f>Inputs_Delivery_Effort!AJ73</f>
        <v>0.2</v>
      </c>
      <c r="K123" s="37">
        <f>Inputs_Delivery_Effort!AK73</f>
        <v>0.2</v>
      </c>
      <c r="L123" s="37">
        <f>Inputs_Delivery_Effort!AL73</f>
        <v>0.2</v>
      </c>
      <c r="M123" s="37">
        <f>Inputs_Delivery_Effort!AM73</f>
        <v>0.2</v>
      </c>
      <c r="N123" s="37">
        <f>Inputs_Delivery_Effort!AN73</f>
        <v>0.2</v>
      </c>
      <c r="O123" s="37">
        <f>Inputs_Delivery_Effort!AO73</f>
        <v>0.2</v>
      </c>
      <c r="P123" s="263"/>
    </row>
    <row r="124" spans="1:16" x14ac:dyDescent="0.25">
      <c r="A124" s="263"/>
      <c r="B124" s="263"/>
      <c r="C124" s="263" t="s">
        <v>157</v>
      </c>
      <c r="D124" s="263" t="s">
        <v>30</v>
      </c>
      <c r="E124" s="263" t="s">
        <v>42</v>
      </c>
      <c r="F124" s="263"/>
      <c r="G124" s="675">
        <f t="shared" ref="G124:O124" si="27">(G119*IT_Consultant_Daily_Rate)*G123</f>
        <v>9528.7500000000055</v>
      </c>
      <c r="H124" s="675">
        <f t="shared" si="27"/>
        <v>9528.7500000000055</v>
      </c>
      <c r="I124" s="675">
        <f t="shared" si="27"/>
        <v>9528.7500000000055</v>
      </c>
      <c r="J124" s="675">
        <f t="shared" si="27"/>
        <v>9528.7500000000055</v>
      </c>
      <c r="K124" s="675">
        <f t="shared" si="27"/>
        <v>0</v>
      </c>
      <c r="L124" s="675">
        <f t="shared" si="27"/>
        <v>0</v>
      </c>
      <c r="M124" s="675">
        <f t="shared" si="27"/>
        <v>4764.3750000000027</v>
      </c>
      <c r="N124" s="675">
        <f t="shared" si="27"/>
        <v>0</v>
      </c>
      <c r="O124" s="675">
        <f t="shared" si="27"/>
        <v>4764.3750000000027</v>
      </c>
      <c r="P124" s="263"/>
    </row>
    <row r="125" spans="1:16" x14ac:dyDescent="0.25">
      <c r="A125" s="263"/>
      <c r="B125" s="263"/>
      <c r="C125" s="263"/>
      <c r="D125" s="263"/>
      <c r="E125" s="263"/>
      <c r="F125" s="263"/>
      <c r="G125" s="263"/>
      <c r="H125" s="263"/>
      <c r="I125" s="263"/>
      <c r="J125" s="263"/>
      <c r="K125" s="263"/>
      <c r="L125" s="263"/>
      <c r="M125" s="263"/>
      <c r="N125" s="263"/>
      <c r="O125" s="263"/>
      <c r="P125" s="263"/>
    </row>
    <row r="126" spans="1:16" x14ac:dyDescent="0.25">
      <c r="A126" s="263"/>
      <c r="B126" s="263"/>
      <c r="C126" s="263"/>
      <c r="D126" s="263"/>
      <c r="E126" s="263"/>
      <c r="F126" s="263"/>
      <c r="G126" s="263"/>
      <c r="H126" s="263"/>
      <c r="I126" s="263"/>
      <c r="J126" s="263"/>
      <c r="K126" s="263"/>
      <c r="L126" s="263"/>
      <c r="M126" s="263"/>
      <c r="N126" s="263"/>
      <c r="O126" s="263"/>
      <c r="P126" s="263"/>
    </row>
    <row r="127" spans="1:16" x14ac:dyDescent="0.25">
      <c r="A127" s="263"/>
      <c r="B127" s="263"/>
      <c r="C127" s="263"/>
      <c r="D127" s="263"/>
      <c r="E127" s="263"/>
      <c r="F127" s="263"/>
      <c r="G127" s="263"/>
      <c r="H127" s="263"/>
      <c r="I127" s="263"/>
      <c r="J127" s="263"/>
      <c r="K127" s="263"/>
      <c r="L127" s="263"/>
      <c r="M127" s="263"/>
      <c r="N127" s="263"/>
      <c r="O127" s="263"/>
      <c r="P127" s="263"/>
    </row>
  </sheetData>
  <mergeCells count="1">
    <mergeCell ref="G4:J4"/>
  </mergeCells>
  <pageMargins left="0.7" right="0.7" top="0.75" bottom="0.75" header="0.3" footer="0.3"/>
  <pageSetup paperSize="0" orientation="portrait"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
  <sheetViews>
    <sheetView topLeftCell="A1048576" workbookViewId="0">
      <selection activeCell="R56" sqref="R56"/>
    </sheetView>
  </sheetViews>
  <sheetFormatPr defaultRowHeight="15" customHeight="1" zeroHeight="1" x14ac:dyDescent="0.25"/>
  <sheetData>
    <row r="1" hidden="1" x14ac:dyDescent="0.25"/>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P74"/>
  <sheetViews>
    <sheetView showGridLines="0" zoomScale="80" zoomScaleNormal="80" workbookViewId="0">
      <pane ySplit="5" topLeftCell="A27" activePane="bottomLeft" state="frozen"/>
      <selection activeCell="R56" sqref="R56"/>
      <selection pane="bottomLeft" activeCell="G57" sqref="G57"/>
    </sheetView>
  </sheetViews>
  <sheetFormatPr defaultRowHeight="15" x14ac:dyDescent="0.25"/>
  <cols>
    <col min="1" max="1" width="3.28515625" customWidth="1"/>
    <col min="2" max="2" width="14.28515625" bestFit="1" customWidth="1"/>
    <col min="3" max="3" width="38.28515625" customWidth="1"/>
    <col min="4" max="4" width="8.28515625" bestFit="1" customWidth="1"/>
    <col min="5" max="5" width="14.85546875" bestFit="1" customWidth="1"/>
    <col min="6" max="6" width="52.42578125" bestFit="1" customWidth="1"/>
    <col min="7" max="7" width="13" bestFit="1" customWidth="1"/>
    <col min="8" max="8" width="14.140625" bestFit="1" customWidth="1"/>
    <col min="9" max="9" width="12.5703125" bestFit="1" customWidth="1"/>
    <col min="10" max="10" width="11.7109375" bestFit="1" customWidth="1"/>
    <col min="11" max="11" width="12.5703125" bestFit="1" customWidth="1"/>
    <col min="12" max="15" width="11" bestFit="1" customWidth="1"/>
  </cols>
  <sheetData>
    <row r="1" spans="1:15" x14ac:dyDescent="0.25">
      <c r="A1" s="117"/>
      <c r="B1" s="117"/>
      <c r="C1" s="44"/>
      <c r="D1" s="44"/>
      <c r="E1" s="44"/>
      <c r="F1" s="118"/>
      <c r="G1" s="263"/>
      <c r="H1" s="263"/>
      <c r="I1" s="263"/>
      <c r="J1" s="263"/>
      <c r="K1" s="263"/>
      <c r="L1" s="263"/>
      <c r="M1" s="263"/>
      <c r="N1" s="263"/>
      <c r="O1" s="263"/>
    </row>
    <row r="2" spans="1:15" x14ac:dyDescent="0.25">
      <c r="A2" s="117"/>
      <c r="B2" s="117" t="s">
        <v>0</v>
      </c>
      <c r="C2" s="119" t="str">
        <f ca="1">MID(CELL("filename",A1),FIND("]",CELL("filename",A1))+1,256)</f>
        <v>eC&amp;R-EMP Process Workings</v>
      </c>
      <c r="D2" s="44"/>
      <c r="E2" s="44"/>
      <c r="F2" s="118"/>
      <c r="G2" s="263"/>
      <c r="H2" s="263"/>
      <c r="I2" s="263"/>
      <c r="J2" s="263"/>
      <c r="K2" s="263"/>
      <c r="L2" s="263"/>
      <c r="M2" s="263"/>
      <c r="N2" s="263"/>
      <c r="O2" s="263"/>
    </row>
    <row r="3" spans="1:15" x14ac:dyDescent="0.25">
      <c r="A3" s="117"/>
      <c r="B3" s="117" t="s">
        <v>1</v>
      </c>
      <c r="C3" s="118" t="s">
        <v>322</v>
      </c>
      <c r="D3" s="44"/>
      <c r="E3" s="44"/>
      <c r="F3" s="118"/>
      <c r="G3" s="263"/>
      <c r="H3" s="263"/>
      <c r="I3" s="263"/>
      <c r="J3" s="263"/>
      <c r="K3" s="263"/>
      <c r="L3" s="263"/>
      <c r="M3" s="263"/>
      <c r="N3" s="263"/>
      <c r="O3" s="263"/>
    </row>
    <row r="4" spans="1:15" x14ac:dyDescent="0.25">
      <c r="A4" s="117"/>
      <c r="B4" s="117"/>
      <c r="C4" s="44"/>
      <c r="D4" s="44"/>
      <c r="E4" s="44"/>
      <c r="F4" s="118"/>
      <c r="G4" s="710" t="s">
        <v>83</v>
      </c>
      <c r="H4" s="710"/>
      <c r="I4" s="710"/>
      <c r="J4" s="710"/>
      <c r="K4" s="263"/>
      <c r="L4" s="263"/>
      <c r="M4" s="263"/>
      <c r="N4" s="263"/>
      <c r="O4" s="264"/>
    </row>
    <row r="5" spans="1:15" x14ac:dyDescent="0.25">
      <c r="A5" s="120"/>
      <c r="B5" s="120" t="s">
        <v>27</v>
      </c>
      <c r="C5" s="121" t="s">
        <v>28</v>
      </c>
      <c r="D5" s="121" t="s">
        <v>29</v>
      </c>
      <c r="E5" s="121" t="s">
        <v>130</v>
      </c>
      <c r="F5" s="122" t="s">
        <v>173</v>
      </c>
      <c r="G5" s="19" t="s">
        <v>59</v>
      </c>
      <c r="H5" s="19" t="s">
        <v>62</v>
      </c>
      <c r="I5" s="19" t="s">
        <v>56</v>
      </c>
      <c r="J5" s="19" t="s">
        <v>72</v>
      </c>
      <c r="K5" s="19" t="s">
        <v>46</v>
      </c>
      <c r="L5" s="19" t="s">
        <v>79</v>
      </c>
      <c r="M5" s="19" t="s">
        <v>82</v>
      </c>
      <c r="N5" s="19" t="s">
        <v>81</v>
      </c>
      <c r="O5" s="19" t="s">
        <v>90</v>
      </c>
    </row>
    <row r="6" spans="1:15" x14ac:dyDescent="0.25">
      <c r="A6" s="117"/>
      <c r="B6" s="117"/>
      <c r="C6" s="44"/>
      <c r="D6" s="44"/>
      <c r="E6" s="44"/>
      <c r="F6" s="118"/>
      <c r="G6" s="263"/>
      <c r="H6" s="263"/>
      <c r="I6" s="263"/>
      <c r="J6" s="263"/>
      <c r="K6" s="263"/>
      <c r="L6" s="263"/>
      <c r="M6" s="263"/>
      <c r="N6" s="263"/>
      <c r="O6" s="263"/>
    </row>
    <row r="7" spans="1:15" x14ac:dyDescent="0.25">
      <c r="A7" s="117"/>
      <c r="B7" s="123" t="s">
        <v>174</v>
      </c>
      <c r="C7" s="44" t="s">
        <v>43</v>
      </c>
      <c r="D7" s="44"/>
      <c r="E7" s="44"/>
      <c r="F7" s="118"/>
      <c r="G7" s="130">
        <f>SUMIF($E$11:$E$73,"CAPEX",G11:G73)</f>
        <v>145763.33333333334</v>
      </c>
      <c r="H7" s="130">
        <f t="shared" ref="H7:O7" si="0">SUMIF($E$11:$E$73,"CAPEX",H11:H73)</f>
        <v>147930.00000000003</v>
      </c>
      <c r="I7" s="130">
        <f t="shared" si="0"/>
        <v>145763.33333333334</v>
      </c>
      <c r="J7" s="130">
        <f t="shared" si="0"/>
        <v>145763.33333333334</v>
      </c>
      <c r="K7" s="672">
        <f t="shared" si="0"/>
        <v>0</v>
      </c>
      <c r="L7" s="130">
        <f t="shared" si="0"/>
        <v>28013.333333333336</v>
      </c>
      <c r="M7" s="130">
        <f t="shared" si="0"/>
        <v>112285.0888888889</v>
      </c>
      <c r="N7" s="130">
        <f t="shared" si="0"/>
        <v>10965.004444444445</v>
      </c>
      <c r="O7" s="130">
        <f t="shared" si="0"/>
        <v>52965</v>
      </c>
    </row>
    <row r="8" spans="1:15" x14ac:dyDescent="0.25">
      <c r="A8" s="117"/>
      <c r="B8" s="117"/>
      <c r="C8" s="44" t="s">
        <v>42</v>
      </c>
      <c r="D8" s="44"/>
      <c r="E8" s="44"/>
      <c r="F8" s="118"/>
      <c r="G8" s="130">
        <f t="shared" ref="G8:O8" si="1">SUMIF($E$11:$E$73,"OPEX",G11:G73)/(1+CAPEX_Factor)</f>
        <v>29152.666666666672</v>
      </c>
      <c r="H8" s="130">
        <f t="shared" si="1"/>
        <v>29586.000000000004</v>
      </c>
      <c r="I8" s="130">
        <f t="shared" si="1"/>
        <v>29152.666666666672</v>
      </c>
      <c r="J8" s="130">
        <f t="shared" si="1"/>
        <v>29152.666666666672</v>
      </c>
      <c r="K8" s="672">
        <f t="shared" si="1"/>
        <v>0</v>
      </c>
      <c r="L8" s="130">
        <f t="shared" si="1"/>
        <v>5602.6666666666679</v>
      </c>
      <c r="M8" s="130">
        <f t="shared" si="1"/>
        <v>22457.017777777779</v>
      </c>
      <c r="N8" s="130">
        <f t="shared" si="1"/>
        <v>2193.0008888888892</v>
      </c>
      <c r="O8" s="130">
        <f t="shared" si="1"/>
        <v>10593</v>
      </c>
    </row>
    <row r="9" spans="1:15" x14ac:dyDescent="0.25">
      <c r="A9" s="117"/>
      <c r="B9" s="124"/>
      <c r="C9" s="125" t="s">
        <v>175</v>
      </c>
      <c r="D9" s="125"/>
      <c r="E9" s="125"/>
      <c r="F9" s="126"/>
      <c r="G9" s="126"/>
      <c r="H9" s="126"/>
      <c r="I9" s="126"/>
      <c r="J9" s="126"/>
      <c r="K9" s="126"/>
      <c r="L9" s="126"/>
      <c r="M9" s="126"/>
      <c r="N9" s="126"/>
      <c r="O9" s="126"/>
    </row>
    <row r="10" spans="1:15" x14ac:dyDescent="0.25">
      <c r="A10" s="127"/>
      <c r="B10" s="124"/>
      <c r="C10" s="124"/>
      <c r="D10" s="124"/>
      <c r="E10" s="124"/>
      <c r="F10" s="128"/>
      <c r="G10" s="263"/>
      <c r="H10" s="263"/>
      <c r="I10" s="263"/>
      <c r="J10" s="263"/>
      <c r="K10" s="263"/>
      <c r="L10" s="263"/>
      <c r="M10" s="263"/>
      <c r="N10" s="263"/>
      <c r="O10" s="263"/>
    </row>
    <row r="11" spans="1:15" x14ac:dyDescent="0.25">
      <c r="A11" s="117"/>
      <c r="B11" s="124"/>
      <c r="C11" s="44" t="s">
        <v>175</v>
      </c>
      <c r="D11" s="44" t="s">
        <v>51</v>
      </c>
      <c r="E11" s="44" t="s">
        <v>50</v>
      </c>
      <c r="F11" s="118" t="s">
        <v>214</v>
      </c>
      <c r="G11" s="673">
        <f>Inputs_Delivery_Effort!AV11</f>
        <v>55.440000000000012</v>
      </c>
      <c r="H11" s="673">
        <f>Inputs_Delivery_Effort!AW11</f>
        <v>55.440000000000012</v>
      </c>
      <c r="I11" s="673">
        <f>Inputs_Delivery_Effort!AX11</f>
        <v>55.440000000000012</v>
      </c>
      <c r="J11" s="673">
        <f>Inputs_Delivery_Effort!AY11</f>
        <v>55.440000000000012</v>
      </c>
      <c r="K11" s="673">
        <f>Inputs_Delivery_Effort!AZ11</f>
        <v>0</v>
      </c>
      <c r="L11" s="673">
        <f>Inputs_Delivery_Effort!BA11</f>
        <v>0</v>
      </c>
      <c r="M11" s="673">
        <f>Inputs_Delivery_Effort!BB11</f>
        <v>21.120000000000005</v>
      </c>
      <c r="N11" s="673">
        <f>Inputs_Delivery_Effort!BC11</f>
        <v>3.3000000000000003</v>
      </c>
      <c r="O11" s="673">
        <f>Inputs_Delivery_Effort!BD11</f>
        <v>17.82</v>
      </c>
    </row>
    <row r="12" spans="1:15" x14ac:dyDescent="0.25">
      <c r="A12" s="129"/>
      <c r="B12" s="124"/>
      <c r="C12" s="44" t="s">
        <v>175</v>
      </c>
      <c r="D12" s="44" t="s">
        <v>51</v>
      </c>
      <c r="E12" s="44" t="s">
        <v>50</v>
      </c>
      <c r="F12" s="118" t="s">
        <v>117</v>
      </c>
      <c r="G12" s="674">
        <f>Inputs_Delivery_Effort!AV13</f>
        <v>2.08</v>
      </c>
      <c r="H12" s="674">
        <f>Inputs_Delivery_Effort!AW13</f>
        <v>2.4800000000000004</v>
      </c>
      <c r="I12" s="674">
        <f>Inputs_Delivery_Effort!AX13</f>
        <v>2.08</v>
      </c>
      <c r="J12" s="674">
        <f>Inputs_Delivery_Effort!AY13</f>
        <v>2.08</v>
      </c>
      <c r="K12" s="674">
        <f>Inputs_Delivery_Effort!AZ13</f>
        <v>0</v>
      </c>
      <c r="L12" s="674">
        <f>Inputs_Delivery_Effort!BA13</f>
        <v>0</v>
      </c>
      <c r="M12" s="674">
        <f>Inputs_Delivery_Effort!BB13</f>
        <v>1.28</v>
      </c>
      <c r="N12" s="674">
        <f>Inputs_Delivery_Effort!BC13</f>
        <v>1.28</v>
      </c>
      <c r="O12" s="674">
        <f>Inputs_Delivery_Effort!BD13</f>
        <v>0</v>
      </c>
    </row>
    <row r="13" spans="1:15" x14ac:dyDescent="0.25">
      <c r="A13" s="117"/>
      <c r="B13" s="124"/>
      <c r="C13" s="44" t="s">
        <v>175</v>
      </c>
      <c r="D13" s="44" t="s">
        <v>48</v>
      </c>
      <c r="E13" s="44" t="s">
        <v>50</v>
      </c>
      <c r="F13" s="118" t="s">
        <v>116</v>
      </c>
      <c r="G13" s="671">
        <f>Inputs_Delivery_Effort!AV14</f>
        <v>0</v>
      </c>
      <c r="H13" s="671">
        <f>Inputs_Delivery_Effort!AW14</f>
        <v>0</v>
      </c>
      <c r="I13" s="671">
        <f>Inputs_Delivery_Effort!AX14</f>
        <v>0</v>
      </c>
      <c r="J13" s="671">
        <f>Inputs_Delivery_Effort!AY14</f>
        <v>0</v>
      </c>
      <c r="K13" s="671">
        <f>Inputs_Delivery_Effort!AZ14</f>
        <v>0</v>
      </c>
      <c r="L13" s="671">
        <f>Inputs_Delivery_Effort!BA14</f>
        <v>0</v>
      </c>
      <c r="M13" s="671">
        <f>Inputs_Delivery_Effort!BB14</f>
        <v>100</v>
      </c>
      <c r="N13" s="671">
        <f>Inputs_Delivery_Effort!BC14</f>
        <v>5</v>
      </c>
      <c r="O13" s="671">
        <f>Inputs_Delivery_Effort!BD14</f>
        <v>0</v>
      </c>
    </row>
    <row r="14" spans="1:15" x14ac:dyDescent="0.25">
      <c r="A14" s="117"/>
      <c r="B14" s="124"/>
      <c r="C14" s="44" t="s">
        <v>175</v>
      </c>
      <c r="D14" s="44" t="s">
        <v>30</v>
      </c>
      <c r="E14" s="44" t="s">
        <v>50</v>
      </c>
      <c r="F14" s="118" t="s">
        <v>70</v>
      </c>
      <c r="G14" s="112">
        <f>Inputs_CPs!F$11</f>
        <v>142.97777777777776</v>
      </c>
      <c r="H14" s="112">
        <f>Inputs_CPs!G$11</f>
        <v>142.97777777777776</v>
      </c>
      <c r="I14" s="112">
        <f>Inputs_CPs!H$11</f>
        <v>142.97777777777776</v>
      </c>
      <c r="J14" s="112">
        <f>Inputs_CPs!I$11</f>
        <v>142.97777777777776</v>
      </c>
      <c r="K14" s="112">
        <f>Inputs_CPs!N$11</f>
        <v>142.97777777777776</v>
      </c>
      <c r="L14" s="112">
        <f>Inputs_CPs!O$11</f>
        <v>142.97777777777776</v>
      </c>
      <c r="M14" s="112">
        <f>Inputs_CPs!K$11</f>
        <v>142.97777777777776</v>
      </c>
      <c r="N14" s="112">
        <f>Inputs_CPs!L$11</f>
        <v>142.97777777777776</v>
      </c>
      <c r="O14" s="112">
        <f>Inputs_CPs!M$11</f>
        <v>142.97777777777776</v>
      </c>
    </row>
    <row r="15" spans="1:15" x14ac:dyDescent="0.25">
      <c r="A15" s="117"/>
      <c r="B15" s="124"/>
      <c r="C15" s="44" t="s">
        <v>175</v>
      </c>
      <c r="D15" s="44" t="s">
        <v>30</v>
      </c>
      <c r="E15" s="44" t="s">
        <v>43</v>
      </c>
      <c r="F15" s="118"/>
      <c r="G15" s="675">
        <f t="shared" ref="G15:O15" si="2">(G12*G14*G13)+(G11*IT_Consultant_Daily_Rate)</f>
        <v>27720.000000000007</v>
      </c>
      <c r="H15" s="675">
        <f t="shared" si="2"/>
        <v>27720.000000000007</v>
      </c>
      <c r="I15" s="675">
        <f t="shared" si="2"/>
        <v>27720.000000000007</v>
      </c>
      <c r="J15" s="675">
        <f t="shared" si="2"/>
        <v>27720.000000000007</v>
      </c>
      <c r="K15" s="675">
        <f t="shared" si="2"/>
        <v>0</v>
      </c>
      <c r="L15" s="675">
        <f t="shared" si="2"/>
        <v>0</v>
      </c>
      <c r="M15" s="675">
        <f t="shared" si="2"/>
        <v>28861.155555555553</v>
      </c>
      <c r="N15" s="675">
        <f t="shared" si="2"/>
        <v>2565.057777777778</v>
      </c>
      <c r="O15" s="675">
        <f t="shared" si="2"/>
        <v>8910</v>
      </c>
    </row>
    <row r="16" spans="1:15" x14ac:dyDescent="0.25">
      <c r="A16" s="117"/>
      <c r="B16" s="124"/>
      <c r="C16" s="44"/>
      <c r="D16" s="44"/>
      <c r="E16" s="44"/>
      <c r="F16" s="118"/>
      <c r="G16" s="263"/>
      <c r="H16" s="263"/>
      <c r="I16" s="263"/>
      <c r="J16" s="263"/>
      <c r="K16" s="263"/>
      <c r="L16" s="263"/>
      <c r="M16" s="263"/>
      <c r="N16" s="263"/>
      <c r="O16" s="263"/>
    </row>
    <row r="17" spans="1:15" x14ac:dyDescent="0.25">
      <c r="A17" s="117"/>
      <c r="B17" s="124"/>
      <c r="C17" s="44" t="s">
        <v>175</v>
      </c>
      <c r="D17" s="44" t="s">
        <v>49</v>
      </c>
      <c r="E17" s="44" t="s">
        <v>47</v>
      </c>
      <c r="F17" s="118" t="s">
        <v>118</v>
      </c>
      <c r="G17" s="37">
        <f>Inputs_Delivery_Effort!AV12</f>
        <v>0.2</v>
      </c>
      <c r="H17" s="37">
        <f>Inputs_Delivery_Effort!AW12</f>
        <v>0.2</v>
      </c>
      <c r="I17" s="37">
        <f>Inputs_Delivery_Effort!AX12</f>
        <v>0.2</v>
      </c>
      <c r="J17" s="37">
        <f>Inputs_Delivery_Effort!AY12</f>
        <v>0.2</v>
      </c>
      <c r="K17" s="37">
        <f>Inputs_Delivery_Effort!AZ12</f>
        <v>0.2</v>
      </c>
      <c r="L17" s="37">
        <f>Inputs_Delivery_Effort!BA12</f>
        <v>0.2</v>
      </c>
      <c r="M17" s="37">
        <f>Inputs_Delivery_Effort!BB12</f>
        <v>0.2</v>
      </c>
      <c r="N17" s="37">
        <f>Inputs_Delivery_Effort!BC12</f>
        <v>0.2</v>
      </c>
      <c r="O17" s="37">
        <f>Inputs_Delivery_Effort!BD12</f>
        <v>0.2</v>
      </c>
    </row>
    <row r="18" spans="1:15" x14ac:dyDescent="0.25">
      <c r="A18" s="117"/>
      <c r="B18" s="124"/>
      <c r="C18" s="44" t="s">
        <v>175</v>
      </c>
      <c r="D18" s="44" t="s">
        <v>30</v>
      </c>
      <c r="E18" s="44" t="s">
        <v>42</v>
      </c>
      <c r="F18" s="118"/>
      <c r="G18" s="675">
        <f t="shared" ref="G18:O18" si="3">G15*G17</f>
        <v>5544.0000000000018</v>
      </c>
      <c r="H18" s="675">
        <f t="shared" si="3"/>
        <v>5544.0000000000018</v>
      </c>
      <c r="I18" s="675">
        <f t="shared" si="3"/>
        <v>5544.0000000000018</v>
      </c>
      <c r="J18" s="675">
        <f t="shared" si="3"/>
        <v>5544.0000000000018</v>
      </c>
      <c r="K18" s="675">
        <f t="shared" si="3"/>
        <v>0</v>
      </c>
      <c r="L18" s="675">
        <f t="shared" si="3"/>
        <v>0</v>
      </c>
      <c r="M18" s="675">
        <f t="shared" si="3"/>
        <v>5772.2311111111112</v>
      </c>
      <c r="N18" s="675">
        <f t="shared" si="3"/>
        <v>513.01155555555567</v>
      </c>
      <c r="O18" s="675">
        <f t="shared" si="3"/>
        <v>1782</v>
      </c>
    </row>
    <row r="19" spans="1:15" x14ac:dyDescent="0.25">
      <c r="A19" s="117"/>
      <c r="B19" s="124"/>
      <c r="C19" s="44"/>
      <c r="D19" s="44"/>
      <c r="E19" s="44"/>
      <c r="F19" s="118"/>
      <c r="G19" s="263"/>
      <c r="H19" s="263"/>
      <c r="I19" s="263"/>
      <c r="J19" s="263"/>
      <c r="K19" s="263"/>
      <c r="L19" s="263"/>
      <c r="M19" s="263"/>
      <c r="N19" s="263"/>
      <c r="O19" s="263"/>
    </row>
    <row r="20" spans="1:15" x14ac:dyDescent="0.25">
      <c r="A20" s="117"/>
      <c r="B20" s="124"/>
      <c r="C20" s="125" t="s">
        <v>149</v>
      </c>
      <c r="D20" s="125"/>
      <c r="E20" s="125"/>
      <c r="F20" s="126"/>
      <c r="G20" s="126"/>
      <c r="H20" s="126"/>
      <c r="I20" s="126"/>
      <c r="J20" s="126"/>
      <c r="K20" s="126"/>
      <c r="L20" s="126"/>
      <c r="M20" s="126"/>
      <c r="N20" s="126"/>
      <c r="O20" s="126"/>
    </row>
    <row r="21" spans="1:15" x14ac:dyDescent="0.25">
      <c r="A21" s="117"/>
      <c r="B21" s="124"/>
      <c r="C21" s="44"/>
      <c r="D21" s="44"/>
      <c r="E21" s="44"/>
      <c r="F21" s="118" t="str">
        <f>C21&amp;E21</f>
        <v/>
      </c>
      <c r="G21" s="263"/>
      <c r="H21" s="263"/>
      <c r="I21" s="263"/>
      <c r="J21" s="263"/>
      <c r="K21" s="263"/>
      <c r="L21" s="263"/>
      <c r="M21" s="263"/>
      <c r="N21" s="263"/>
      <c r="O21" s="263"/>
    </row>
    <row r="22" spans="1:15" x14ac:dyDescent="0.25">
      <c r="A22" s="117"/>
      <c r="B22" s="124"/>
      <c r="C22" s="44" t="s">
        <v>149</v>
      </c>
      <c r="D22" s="44" t="s">
        <v>51</v>
      </c>
      <c r="E22" s="44" t="s">
        <v>50</v>
      </c>
      <c r="F22" s="118" t="s">
        <v>214</v>
      </c>
      <c r="G22" s="673">
        <f>Inputs_Delivery_Effort!AV15</f>
        <v>62.040000000000006</v>
      </c>
      <c r="H22" s="673">
        <f>Inputs_Delivery_Effort!AW15</f>
        <v>62.040000000000006</v>
      </c>
      <c r="I22" s="673">
        <f>Inputs_Delivery_Effort!AX15</f>
        <v>62.040000000000006</v>
      </c>
      <c r="J22" s="673">
        <f>Inputs_Delivery_Effort!AY15</f>
        <v>62.040000000000006</v>
      </c>
      <c r="K22" s="673">
        <f>Inputs_Delivery_Effort!AZ15</f>
        <v>0</v>
      </c>
      <c r="L22" s="673">
        <f>Inputs_Delivery_Effort!BA15</f>
        <v>0</v>
      </c>
      <c r="M22" s="673">
        <f>Inputs_Delivery_Effort!BB15</f>
        <v>31.020000000000003</v>
      </c>
      <c r="N22" s="673">
        <f>Inputs_Delivery_Effort!BC15</f>
        <v>3.3000000000000003</v>
      </c>
      <c r="O22" s="673">
        <f>Inputs_Delivery_Effort!BD15</f>
        <v>27.720000000000002</v>
      </c>
    </row>
    <row r="23" spans="1:15" x14ac:dyDescent="0.25">
      <c r="A23" s="129"/>
      <c r="B23" s="124"/>
      <c r="C23" s="44" t="s">
        <v>149</v>
      </c>
      <c r="D23" s="44" t="s">
        <v>51</v>
      </c>
      <c r="E23" s="44" t="s">
        <v>50</v>
      </c>
      <c r="F23" s="118" t="s">
        <v>117</v>
      </c>
      <c r="G23" s="674">
        <f>Inputs_Delivery_Effort!AV17</f>
        <v>0.96000000000000019</v>
      </c>
      <c r="H23" s="674">
        <f>Inputs_Delivery_Effort!AW17</f>
        <v>1.3600000000000003</v>
      </c>
      <c r="I23" s="674">
        <f>Inputs_Delivery_Effort!AX17</f>
        <v>0.96000000000000019</v>
      </c>
      <c r="J23" s="674">
        <f>Inputs_Delivery_Effort!AY17</f>
        <v>0.96000000000000019</v>
      </c>
      <c r="K23" s="674">
        <f>Inputs_Delivery_Effort!AZ17</f>
        <v>0</v>
      </c>
      <c r="L23" s="674">
        <f>Inputs_Delivery_Effort!BA17</f>
        <v>0</v>
      </c>
      <c r="M23" s="674">
        <f>Inputs_Delivery_Effort!BB17</f>
        <v>0.96000000000000019</v>
      </c>
      <c r="N23" s="674">
        <f>Inputs_Delivery_Effort!BC17</f>
        <v>0.96000000000000019</v>
      </c>
      <c r="O23" s="674">
        <f>Inputs_Delivery_Effort!BD17</f>
        <v>0</v>
      </c>
    </row>
    <row r="24" spans="1:15" x14ac:dyDescent="0.25">
      <c r="A24" s="117"/>
      <c r="B24" s="124"/>
      <c r="C24" s="44" t="s">
        <v>149</v>
      </c>
      <c r="D24" s="44" t="s">
        <v>48</v>
      </c>
      <c r="E24" s="44" t="s">
        <v>50</v>
      </c>
      <c r="F24" s="118" t="s">
        <v>181</v>
      </c>
      <c r="G24" s="671">
        <f>Inputs_Delivery_Effort!AV18</f>
        <v>0</v>
      </c>
      <c r="H24" s="671">
        <f>Inputs_Delivery_Effort!AW18</f>
        <v>0</v>
      </c>
      <c r="I24" s="671">
        <f>Inputs_Delivery_Effort!AX18</f>
        <v>0</v>
      </c>
      <c r="J24" s="671">
        <f>Inputs_Delivery_Effort!AY18</f>
        <v>0</v>
      </c>
      <c r="K24" s="671">
        <f>Inputs_Delivery_Effort!AZ18</f>
        <v>0</v>
      </c>
      <c r="L24" s="671">
        <f>Inputs_Delivery_Effort!BA18</f>
        <v>0</v>
      </c>
      <c r="M24" s="671">
        <f>Inputs_Delivery_Effort!BB18</f>
        <v>100</v>
      </c>
      <c r="N24" s="671">
        <f>Inputs_Delivery_Effort!BC18</f>
        <v>5</v>
      </c>
      <c r="O24" s="671">
        <f>Inputs_Delivery_Effort!BD18</f>
        <v>0</v>
      </c>
    </row>
    <row r="25" spans="1:15" x14ac:dyDescent="0.25">
      <c r="A25" s="117"/>
      <c r="B25" s="124"/>
      <c r="C25" s="44" t="s">
        <v>149</v>
      </c>
      <c r="D25" s="44" t="s">
        <v>30</v>
      </c>
      <c r="E25" s="44" t="s">
        <v>50</v>
      </c>
      <c r="F25" s="118" t="s">
        <v>70</v>
      </c>
      <c r="G25" s="112">
        <f>Inputs_CPs!F$11</f>
        <v>142.97777777777776</v>
      </c>
      <c r="H25" s="112">
        <f>Inputs_CPs!G$11</f>
        <v>142.97777777777776</v>
      </c>
      <c r="I25" s="112">
        <f>Inputs_CPs!H$11</f>
        <v>142.97777777777776</v>
      </c>
      <c r="J25" s="112">
        <f>Inputs_CPs!I$11</f>
        <v>142.97777777777776</v>
      </c>
      <c r="K25" s="112">
        <f>Inputs_CPs!J$11</f>
        <v>142.97777777777776</v>
      </c>
      <c r="L25" s="112">
        <f>Inputs_CPs!K$11</f>
        <v>142.97777777777776</v>
      </c>
      <c r="M25" s="112">
        <f>Inputs_CPs!L$11</f>
        <v>142.97777777777776</v>
      </c>
      <c r="N25" s="112">
        <f>Inputs_CPs!M$11</f>
        <v>142.97777777777776</v>
      </c>
      <c r="O25" s="112">
        <f>Inputs_CPs!N$11</f>
        <v>142.97777777777776</v>
      </c>
    </row>
    <row r="26" spans="1:15" x14ac:dyDescent="0.25">
      <c r="A26" s="117"/>
      <c r="B26" s="124"/>
      <c r="C26" s="44" t="s">
        <v>149</v>
      </c>
      <c r="D26" s="44" t="s">
        <v>30</v>
      </c>
      <c r="E26" s="44" t="s">
        <v>43</v>
      </c>
      <c r="F26" s="118"/>
      <c r="G26" s="675">
        <f t="shared" ref="G26:O26" si="4">(G23*G25*G24)+(G22*IT_Consultant_Daily_Rate)</f>
        <v>31020.000000000004</v>
      </c>
      <c r="H26" s="675">
        <f t="shared" si="4"/>
        <v>31020.000000000004</v>
      </c>
      <c r="I26" s="675">
        <f t="shared" si="4"/>
        <v>31020.000000000004</v>
      </c>
      <c r="J26" s="675">
        <f t="shared" si="4"/>
        <v>31020.000000000004</v>
      </c>
      <c r="K26" s="675">
        <f t="shared" si="4"/>
        <v>0</v>
      </c>
      <c r="L26" s="675">
        <f t="shared" si="4"/>
        <v>0</v>
      </c>
      <c r="M26" s="675">
        <f t="shared" si="4"/>
        <v>29235.866666666669</v>
      </c>
      <c r="N26" s="675">
        <f t="shared" si="4"/>
        <v>2336.2933333333335</v>
      </c>
      <c r="O26" s="675">
        <f t="shared" si="4"/>
        <v>13860.000000000002</v>
      </c>
    </row>
    <row r="27" spans="1:15" x14ac:dyDescent="0.25">
      <c r="A27" s="117"/>
      <c r="B27" s="124"/>
      <c r="C27" s="44"/>
      <c r="D27" s="44"/>
      <c r="E27" s="44"/>
      <c r="F27" s="118"/>
      <c r="G27" s="263"/>
      <c r="H27" s="263"/>
      <c r="I27" s="263"/>
      <c r="J27" s="263"/>
      <c r="K27" s="263"/>
      <c r="L27" s="263"/>
      <c r="M27" s="263"/>
      <c r="N27" s="263"/>
      <c r="O27" s="263"/>
    </row>
    <row r="28" spans="1:15" x14ac:dyDescent="0.25">
      <c r="A28" s="117"/>
      <c r="B28" s="124"/>
      <c r="C28" s="44" t="s">
        <v>149</v>
      </c>
      <c r="D28" s="44" t="s">
        <v>49</v>
      </c>
      <c r="E28" s="44" t="s">
        <v>47</v>
      </c>
      <c r="F28" s="118" t="s">
        <v>118</v>
      </c>
      <c r="G28" s="37">
        <f>Inputs_Delivery_Effort!AV16</f>
        <v>0.2</v>
      </c>
      <c r="H28" s="37">
        <f>Inputs_Delivery_Effort!AW16</f>
        <v>0.2</v>
      </c>
      <c r="I28" s="37">
        <f>Inputs_Delivery_Effort!AX16</f>
        <v>0.2</v>
      </c>
      <c r="J28" s="37">
        <f>Inputs_Delivery_Effort!AY16</f>
        <v>0.2</v>
      </c>
      <c r="K28" s="37">
        <f>Inputs_Delivery_Effort!AZ16</f>
        <v>0.2</v>
      </c>
      <c r="L28" s="37">
        <f>Inputs_Delivery_Effort!BA16</f>
        <v>0.2</v>
      </c>
      <c r="M28" s="37">
        <f>Inputs_Delivery_Effort!BB16</f>
        <v>0.2</v>
      </c>
      <c r="N28" s="37">
        <f>Inputs_Delivery_Effort!BC16</f>
        <v>0.2</v>
      </c>
      <c r="O28" s="37">
        <f>Inputs_Delivery_Effort!BD16</f>
        <v>0.2</v>
      </c>
    </row>
    <row r="29" spans="1:15" x14ac:dyDescent="0.25">
      <c r="A29" s="117"/>
      <c r="B29" s="124"/>
      <c r="C29" s="44" t="s">
        <v>149</v>
      </c>
      <c r="D29" s="44" t="s">
        <v>30</v>
      </c>
      <c r="E29" s="44" t="s">
        <v>42</v>
      </c>
      <c r="F29" s="118"/>
      <c r="G29" s="675">
        <f t="shared" ref="G29:O29" si="5">G26*G28</f>
        <v>6204.0000000000009</v>
      </c>
      <c r="H29" s="675">
        <f t="shared" si="5"/>
        <v>6204.0000000000009</v>
      </c>
      <c r="I29" s="675">
        <f t="shared" si="5"/>
        <v>6204.0000000000009</v>
      </c>
      <c r="J29" s="675">
        <f t="shared" si="5"/>
        <v>6204.0000000000009</v>
      </c>
      <c r="K29" s="675">
        <f t="shared" si="5"/>
        <v>0</v>
      </c>
      <c r="L29" s="675">
        <f t="shared" si="5"/>
        <v>0</v>
      </c>
      <c r="M29" s="675">
        <f t="shared" si="5"/>
        <v>5847.1733333333341</v>
      </c>
      <c r="N29" s="675">
        <f t="shared" si="5"/>
        <v>467.25866666666673</v>
      </c>
      <c r="O29" s="675">
        <f t="shared" si="5"/>
        <v>2772.0000000000005</v>
      </c>
    </row>
    <row r="30" spans="1:15" x14ac:dyDescent="0.25">
      <c r="A30" s="117"/>
      <c r="B30" s="127"/>
      <c r="C30" s="44"/>
      <c r="D30" s="44"/>
      <c r="E30" s="44"/>
      <c r="F30" s="118" t="str">
        <f>C30&amp;E30</f>
        <v/>
      </c>
      <c r="G30" s="264"/>
      <c r="H30" s="264"/>
      <c r="I30" s="264"/>
      <c r="J30" s="264"/>
      <c r="K30" s="264"/>
      <c r="L30" s="264"/>
      <c r="M30" s="264"/>
      <c r="N30" s="264"/>
      <c r="O30" s="264"/>
    </row>
    <row r="31" spans="1:15" x14ac:dyDescent="0.25">
      <c r="A31" s="117"/>
      <c r="B31" s="127"/>
      <c r="C31" s="125" t="s">
        <v>150</v>
      </c>
      <c r="D31" s="125"/>
      <c r="E31" s="125"/>
      <c r="F31" s="126"/>
      <c r="G31" s="126"/>
      <c r="H31" s="126"/>
      <c r="I31" s="126"/>
      <c r="J31" s="126"/>
      <c r="K31" s="126"/>
      <c r="L31" s="126"/>
      <c r="M31" s="126"/>
      <c r="N31" s="126"/>
      <c r="O31" s="126"/>
    </row>
    <row r="32" spans="1:15" x14ac:dyDescent="0.25">
      <c r="A32" s="117"/>
      <c r="B32" s="127"/>
      <c r="C32" s="44"/>
      <c r="D32" s="44"/>
      <c r="E32" s="44"/>
      <c r="F32" s="118"/>
      <c r="G32" s="263"/>
      <c r="H32" s="263"/>
      <c r="I32" s="263"/>
      <c r="J32" s="263"/>
      <c r="K32" s="263"/>
      <c r="L32" s="263"/>
      <c r="M32" s="263"/>
      <c r="N32" s="263"/>
      <c r="O32" s="263"/>
    </row>
    <row r="33" spans="1:15" x14ac:dyDescent="0.25">
      <c r="A33" s="263"/>
      <c r="B33" s="263"/>
      <c r="C33" s="124" t="s">
        <v>150</v>
      </c>
      <c r="D33" s="44" t="s">
        <v>51</v>
      </c>
      <c r="E33" s="44" t="s">
        <v>50</v>
      </c>
      <c r="F33" s="118" t="s">
        <v>214</v>
      </c>
      <c r="G33" s="673">
        <f>Inputs_Delivery_Effort!AV19</f>
        <v>71.28</v>
      </c>
      <c r="H33" s="673">
        <f>Inputs_Delivery_Effort!AW19</f>
        <v>71.28</v>
      </c>
      <c r="I33" s="673">
        <f>Inputs_Delivery_Effort!AX19</f>
        <v>71.28</v>
      </c>
      <c r="J33" s="673">
        <f>Inputs_Delivery_Effort!AY19</f>
        <v>71.28</v>
      </c>
      <c r="K33" s="673">
        <f>Inputs_Delivery_Effort!AZ19</f>
        <v>0</v>
      </c>
      <c r="L33" s="673">
        <f>Inputs_Delivery_Effort!BA19</f>
        <v>36.960000000000008</v>
      </c>
      <c r="M33" s="673">
        <f>Inputs_Delivery_Effort!BB19</f>
        <v>29.04</v>
      </c>
      <c r="N33" s="673">
        <f>Inputs_Delivery_Effort!BC19</f>
        <v>3.3000000000000003</v>
      </c>
      <c r="O33" s="673">
        <f>Inputs_Delivery_Effort!BD19</f>
        <v>25.740000000000002</v>
      </c>
    </row>
    <row r="34" spans="1:15" x14ac:dyDescent="0.25">
      <c r="A34" s="117"/>
      <c r="B34" s="127"/>
      <c r="C34" s="124" t="s">
        <v>150</v>
      </c>
      <c r="D34" s="44" t="s">
        <v>51</v>
      </c>
      <c r="E34" s="44" t="s">
        <v>50</v>
      </c>
      <c r="F34" s="118" t="s">
        <v>117</v>
      </c>
      <c r="G34" s="674">
        <f>Inputs_Delivery_Effort!AV21</f>
        <v>2.4800000000000004</v>
      </c>
      <c r="H34" s="674">
        <f>Inputs_Delivery_Effort!AW21</f>
        <v>2.88</v>
      </c>
      <c r="I34" s="674">
        <f>Inputs_Delivery_Effort!AX21</f>
        <v>2.4800000000000004</v>
      </c>
      <c r="J34" s="674">
        <f>Inputs_Delivery_Effort!AY21</f>
        <v>2.4800000000000004</v>
      </c>
      <c r="K34" s="674">
        <f>Inputs_Delivery_Effort!AZ21</f>
        <v>0</v>
      </c>
      <c r="L34" s="674">
        <f>Inputs_Delivery_Effort!BA21</f>
        <v>1.7600000000000002</v>
      </c>
      <c r="M34" s="674">
        <f>Inputs_Delivery_Effort!BB21</f>
        <v>1.6800000000000002</v>
      </c>
      <c r="N34" s="674">
        <f>Inputs_Delivery_Effort!BC21</f>
        <v>1.6800000000000002</v>
      </c>
      <c r="O34" s="674">
        <f>Inputs_Delivery_Effort!BD21</f>
        <v>0</v>
      </c>
    </row>
    <row r="35" spans="1:15" x14ac:dyDescent="0.25">
      <c r="A35" s="263"/>
      <c r="B35" s="263"/>
      <c r="C35" s="124" t="s">
        <v>150</v>
      </c>
      <c r="D35" s="263" t="s">
        <v>48</v>
      </c>
      <c r="E35" s="44" t="s">
        <v>50</v>
      </c>
      <c r="F35" s="263" t="s">
        <v>155</v>
      </c>
      <c r="G35" s="671">
        <f>Inputs_Delivery_Effort!AV22</f>
        <v>15</v>
      </c>
      <c r="H35" s="671">
        <f>Inputs_Delivery_Effort!AW22</f>
        <v>15</v>
      </c>
      <c r="I35" s="671">
        <f>Inputs_Delivery_Effort!AX22</f>
        <v>15</v>
      </c>
      <c r="J35" s="671">
        <f>Inputs_Delivery_Effort!AY22</f>
        <v>15</v>
      </c>
      <c r="K35" s="671">
        <f>Inputs_Delivery_Effort!AZ22</f>
        <v>15</v>
      </c>
      <c r="L35" s="671">
        <f>Inputs_Delivery_Effort!BA22</f>
        <v>15</v>
      </c>
      <c r="M35" s="671">
        <f>Inputs_Delivery_Effort!BB22</f>
        <v>3</v>
      </c>
      <c r="N35" s="671">
        <f>Inputs_Delivery_Effort!BC22</f>
        <v>3</v>
      </c>
      <c r="O35" s="671">
        <f>Inputs_Delivery_Effort!BD22</f>
        <v>3</v>
      </c>
    </row>
    <row r="36" spans="1:15" x14ac:dyDescent="0.25">
      <c r="A36" s="263"/>
      <c r="B36" s="263"/>
      <c r="C36" s="124" t="s">
        <v>150</v>
      </c>
      <c r="D36" s="263" t="s">
        <v>30</v>
      </c>
      <c r="E36" s="44" t="s">
        <v>50</v>
      </c>
      <c r="F36" s="118" t="s">
        <v>260</v>
      </c>
      <c r="G36" s="112">
        <f>Inputs_CPs!F$12</f>
        <v>361.11111111111109</v>
      </c>
      <c r="H36" s="112">
        <f>Inputs_CPs!G$12</f>
        <v>361.11111111111109</v>
      </c>
      <c r="I36" s="112">
        <f>Inputs_CPs!H$12</f>
        <v>361.11111111111109</v>
      </c>
      <c r="J36" s="112">
        <f>Inputs_CPs!I$12</f>
        <v>361.11111111111109</v>
      </c>
      <c r="K36" s="112">
        <f>Inputs_CPs!N$12</f>
        <v>361.11111111111109</v>
      </c>
      <c r="L36" s="112">
        <f>Inputs_CPs!O$12</f>
        <v>361.11111111111109</v>
      </c>
      <c r="M36" s="112">
        <f>Inputs_CPs!K$12</f>
        <v>361.11111111111109</v>
      </c>
      <c r="N36" s="112">
        <f>Inputs_CPs!L$12</f>
        <v>361.11111111111109</v>
      </c>
      <c r="O36" s="112">
        <f>Inputs_CPs!M$12</f>
        <v>361.11111111111109</v>
      </c>
    </row>
    <row r="37" spans="1:15" x14ac:dyDescent="0.25">
      <c r="A37" s="263"/>
      <c r="B37" s="263"/>
      <c r="C37" s="124" t="s">
        <v>150</v>
      </c>
      <c r="D37" s="263" t="s">
        <v>30</v>
      </c>
      <c r="E37" s="44" t="s">
        <v>43</v>
      </c>
      <c r="F37" s="263"/>
      <c r="G37" s="675">
        <f t="shared" ref="G37:O37" si="6">(G34*G36*G35)+(G33*IT_Consultant_Daily_Rate)</f>
        <v>49073.333333333336</v>
      </c>
      <c r="H37" s="675">
        <f t="shared" si="6"/>
        <v>51240</v>
      </c>
      <c r="I37" s="675">
        <f t="shared" si="6"/>
        <v>49073.333333333336</v>
      </c>
      <c r="J37" s="675">
        <f t="shared" si="6"/>
        <v>49073.333333333336</v>
      </c>
      <c r="K37" s="675">
        <f t="shared" si="6"/>
        <v>0</v>
      </c>
      <c r="L37" s="675">
        <f t="shared" si="6"/>
        <v>28013.333333333336</v>
      </c>
      <c r="M37" s="675">
        <f t="shared" si="6"/>
        <v>16340</v>
      </c>
      <c r="N37" s="675">
        <f t="shared" si="6"/>
        <v>3470</v>
      </c>
      <c r="O37" s="675">
        <f t="shared" si="6"/>
        <v>12870.000000000002</v>
      </c>
    </row>
    <row r="38" spans="1:15" x14ac:dyDescent="0.25">
      <c r="A38" s="117"/>
      <c r="B38" s="124"/>
      <c r="C38" s="44"/>
      <c r="D38" s="44"/>
      <c r="E38" s="44"/>
      <c r="F38" s="118"/>
      <c r="G38" s="263"/>
      <c r="H38" s="263"/>
      <c r="I38" s="263"/>
      <c r="J38" s="263"/>
      <c r="K38" s="263"/>
      <c r="L38" s="263"/>
      <c r="M38" s="263"/>
      <c r="N38" s="263"/>
      <c r="O38" s="263"/>
    </row>
    <row r="39" spans="1:15" x14ac:dyDescent="0.25">
      <c r="A39" s="117"/>
      <c r="B39" s="124"/>
      <c r="C39" s="124" t="s">
        <v>150</v>
      </c>
      <c r="D39" s="44" t="s">
        <v>49</v>
      </c>
      <c r="E39" s="44" t="s">
        <v>47</v>
      </c>
      <c r="F39" s="118" t="s">
        <v>118</v>
      </c>
      <c r="G39" s="37">
        <f>Inputs_Delivery_Effort!AV20</f>
        <v>0.2</v>
      </c>
      <c r="H39" s="37">
        <f>Inputs_Delivery_Effort!AW20</f>
        <v>0.2</v>
      </c>
      <c r="I39" s="37">
        <f>Inputs_Delivery_Effort!AX20</f>
        <v>0.2</v>
      </c>
      <c r="J39" s="37">
        <f>Inputs_Delivery_Effort!AY20</f>
        <v>0.2</v>
      </c>
      <c r="K39" s="37">
        <f>Inputs_Delivery_Effort!AZ20</f>
        <v>0.2</v>
      </c>
      <c r="L39" s="37">
        <f>Inputs_Delivery_Effort!BA20</f>
        <v>0.2</v>
      </c>
      <c r="M39" s="37">
        <f>Inputs_Delivery_Effort!BB20</f>
        <v>0.2</v>
      </c>
      <c r="N39" s="37">
        <f>Inputs_Delivery_Effort!BC20</f>
        <v>0.2</v>
      </c>
      <c r="O39" s="37">
        <f>Inputs_Delivery_Effort!BD20</f>
        <v>0.2</v>
      </c>
    </row>
    <row r="40" spans="1:15" x14ac:dyDescent="0.25">
      <c r="A40" s="117"/>
      <c r="B40" s="124"/>
      <c r="C40" s="124" t="s">
        <v>150</v>
      </c>
      <c r="D40" s="44" t="s">
        <v>30</v>
      </c>
      <c r="E40" s="44" t="s">
        <v>42</v>
      </c>
      <c r="F40" s="118"/>
      <c r="G40" s="675">
        <f t="shared" ref="G40:O40" si="7">G37*G39</f>
        <v>9814.6666666666679</v>
      </c>
      <c r="H40" s="675">
        <f t="shared" si="7"/>
        <v>10248</v>
      </c>
      <c r="I40" s="675">
        <f t="shared" si="7"/>
        <v>9814.6666666666679</v>
      </c>
      <c r="J40" s="675">
        <f t="shared" si="7"/>
        <v>9814.6666666666679</v>
      </c>
      <c r="K40" s="675">
        <f t="shared" si="7"/>
        <v>0</v>
      </c>
      <c r="L40" s="675">
        <f t="shared" si="7"/>
        <v>5602.6666666666679</v>
      </c>
      <c r="M40" s="675">
        <f t="shared" si="7"/>
        <v>3268</v>
      </c>
      <c r="N40" s="675">
        <f t="shared" si="7"/>
        <v>694</v>
      </c>
      <c r="O40" s="675">
        <f t="shared" si="7"/>
        <v>2574.0000000000005</v>
      </c>
    </row>
    <row r="41" spans="1:15" x14ac:dyDescent="0.25">
      <c r="A41" s="117"/>
      <c r="B41" s="124"/>
      <c r="C41" s="44"/>
      <c r="D41" s="44"/>
      <c r="E41" s="44"/>
      <c r="F41" s="118"/>
      <c r="G41" s="263"/>
      <c r="H41" s="263"/>
      <c r="I41" s="263"/>
      <c r="J41" s="263"/>
      <c r="K41" s="263"/>
      <c r="L41" s="263"/>
      <c r="M41" s="263"/>
      <c r="N41" s="263"/>
      <c r="O41" s="263"/>
    </row>
    <row r="42" spans="1:15" x14ac:dyDescent="0.25">
      <c r="A42" s="263"/>
      <c r="B42" s="263"/>
      <c r="C42" s="125" t="s">
        <v>139</v>
      </c>
      <c r="D42" s="125"/>
      <c r="E42" s="125"/>
      <c r="F42" s="126"/>
      <c r="G42" s="126"/>
      <c r="H42" s="126"/>
      <c r="I42" s="126"/>
      <c r="J42" s="126"/>
      <c r="K42" s="126"/>
      <c r="L42" s="126"/>
      <c r="M42" s="126"/>
      <c r="N42" s="126"/>
      <c r="O42" s="126"/>
    </row>
    <row r="43" spans="1:15" x14ac:dyDescent="0.25">
      <c r="A43" s="263"/>
      <c r="B43" s="263"/>
      <c r="C43" s="263"/>
      <c r="D43" s="263"/>
      <c r="E43" s="263"/>
      <c r="F43" s="263"/>
      <c r="G43" s="263"/>
      <c r="H43" s="263"/>
      <c r="I43" s="263"/>
      <c r="J43" s="263"/>
      <c r="K43" s="263"/>
      <c r="L43" s="263"/>
      <c r="M43" s="263"/>
      <c r="N43" s="263"/>
      <c r="O43" s="263"/>
    </row>
    <row r="44" spans="1:15" x14ac:dyDescent="0.25">
      <c r="A44" s="263"/>
      <c r="B44" s="263"/>
      <c r="C44" s="263" t="s">
        <v>139</v>
      </c>
      <c r="D44" s="44" t="s">
        <v>51</v>
      </c>
      <c r="E44" s="44" t="s">
        <v>50</v>
      </c>
      <c r="F44" s="118" t="s">
        <v>214</v>
      </c>
      <c r="G44" s="673">
        <f>Inputs_Delivery_Effort!AV23</f>
        <v>54.120000000000005</v>
      </c>
      <c r="H44" s="673">
        <f>Inputs_Delivery_Effort!AW23</f>
        <v>54.120000000000005</v>
      </c>
      <c r="I44" s="673">
        <f>Inputs_Delivery_Effort!AX23</f>
        <v>54.120000000000005</v>
      </c>
      <c r="J44" s="673">
        <f>Inputs_Delivery_Effort!AY23</f>
        <v>54.120000000000005</v>
      </c>
      <c r="K44" s="673">
        <f>Inputs_Delivery_Effort!AZ23</f>
        <v>0</v>
      </c>
      <c r="L44" s="673">
        <f>Inputs_Delivery_Effort!BA23</f>
        <v>0</v>
      </c>
      <c r="M44" s="673">
        <f>Inputs_Delivery_Effort!BB23</f>
        <v>27.060000000000002</v>
      </c>
      <c r="N44" s="673">
        <f>Inputs_Delivery_Effort!BC23</f>
        <v>3.3000000000000003</v>
      </c>
      <c r="O44" s="673">
        <f>Inputs_Delivery_Effort!BD23</f>
        <v>23.760000000000005</v>
      </c>
    </row>
    <row r="45" spans="1:15" x14ac:dyDescent="0.25">
      <c r="A45" s="263"/>
      <c r="B45" s="263"/>
      <c r="C45" s="263" t="s">
        <v>139</v>
      </c>
      <c r="D45" s="263" t="s">
        <v>51</v>
      </c>
      <c r="E45" s="263" t="s">
        <v>50</v>
      </c>
      <c r="F45" s="263" t="s">
        <v>117</v>
      </c>
      <c r="G45" s="674">
        <f>Inputs_Delivery_Effort!AV25</f>
        <v>0.96000000000000019</v>
      </c>
      <c r="H45" s="674">
        <f>Inputs_Delivery_Effort!AW25</f>
        <v>1.3600000000000003</v>
      </c>
      <c r="I45" s="674">
        <f>Inputs_Delivery_Effort!AX25</f>
        <v>0.96000000000000019</v>
      </c>
      <c r="J45" s="674">
        <f>Inputs_Delivery_Effort!AY25</f>
        <v>0.96000000000000019</v>
      </c>
      <c r="K45" s="674">
        <f>Inputs_Delivery_Effort!AZ25</f>
        <v>0</v>
      </c>
      <c r="L45" s="674">
        <f>Inputs_Delivery_Effort!BA25</f>
        <v>0</v>
      </c>
      <c r="M45" s="674">
        <f>Inputs_Delivery_Effort!BB25</f>
        <v>0.96000000000000019</v>
      </c>
      <c r="N45" s="674">
        <f>Inputs_Delivery_Effort!BC25</f>
        <v>0.96000000000000019</v>
      </c>
      <c r="O45" s="674">
        <f>Inputs_Delivery_Effort!BD25</f>
        <v>0</v>
      </c>
    </row>
    <row r="46" spans="1:15" x14ac:dyDescent="0.25">
      <c r="A46" s="263"/>
      <c r="B46" s="263"/>
      <c r="C46" s="263" t="s">
        <v>139</v>
      </c>
      <c r="D46" s="263" t="s">
        <v>48</v>
      </c>
      <c r="E46" s="263" t="s">
        <v>50</v>
      </c>
      <c r="F46" s="263" t="s">
        <v>153</v>
      </c>
      <c r="G46" s="671">
        <f>Inputs_Delivery_Effort!AV26</f>
        <v>0</v>
      </c>
      <c r="H46" s="671">
        <f>Inputs_Delivery_Effort!AW26</f>
        <v>0</v>
      </c>
      <c r="I46" s="671">
        <f>Inputs_Delivery_Effort!AX26</f>
        <v>0</v>
      </c>
      <c r="J46" s="671">
        <f>Inputs_Delivery_Effort!AY26</f>
        <v>0</v>
      </c>
      <c r="K46" s="671">
        <f>Inputs_Delivery_Effort!AZ26</f>
        <v>0</v>
      </c>
      <c r="L46" s="671">
        <f>Inputs_Delivery_Effort!BA26</f>
        <v>0</v>
      </c>
      <c r="M46" s="671">
        <f>Inputs_Delivery_Effort!BB26</f>
        <v>100</v>
      </c>
      <c r="N46" s="671">
        <f>Inputs_Delivery_Effort!BC26</f>
        <v>5</v>
      </c>
      <c r="O46" s="671">
        <f>Inputs_Delivery_Effort!BD26</f>
        <v>0</v>
      </c>
    </row>
    <row r="47" spans="1:15" x14ac:dyDescent="0.25">
      <c r="A47" s="263"/>
      <c r="B47" s="263"/>
      <c r="C47" s="263" t="s">
        <v>139</v>
      </c>
      <c r="D47" s="263" t="s">
        <v>30</v>
      </c>
      <c r="E47" s="263" t="s">
        <v>50</v>
      </c>
      <c r="F47" s="118" t="s">
        <v>70</v>
      </c>
      <c r="G47" s="112">
        <f>Inputs_CPs!F$11</f>
        <v>142.97777777777776</v>
      </c>
      <c r="H47" s="112">
        <f>Inputs_CPs!G$11</f>
        <v>142.97777777777776</v>
      </c>
      <c r="I47" s="112">
        <f>Inputs_CPs!H$11</f>
        <v>142.97777777777776</v>
      </c>
      <c r="J47" s="112">
        <f>Inputs_CPs!I$11</f>
        <v>142.97777777777776</v>
      </c>
      <c r="K47" s="112">
        <f>Inputs_CPs!N$11</f>
        <v>142.97777777777776</v>
      </c>
      <c r="L47" s="112">
        <f>Inputs_CPs!O$11</f>
        <v>142.97777777777776</v>
      </c>
      <c r="M47" s="112">
        <f>Inputs_CPs!K$11</f>
        <v>142.97777777777776</v>
      </c>
      <c r="N47" s="112">
        <f>Inputs_CPs!L$11</f>
        <v>142.97777777777776</v>
      </c>
      <c r="O47" s="112">
        <f>Inputs_CPs!M$11</f>
        <v>142.97777777777776</v>
      </c>
    </row>
    <row r="48" spans="1:15" x14ac:dyDescent="0.25">
      <c r="A48" s="263"/>
      <c r="B48" s="263"/>
      <c r="C48" s="263" t="s">
        <v>139</v>
      </c>
      <c r="D48" s="263" t="s">
        <v>30</v>
      </c>
      <c r="E48" s="263" t="s">
        <v>43</v>
      </c>
      <c r="F48" s="263"/>
      <c r="G48" s="675">
        <f t="shared" ref="G48:O48" si="8">(G45*G47*G46)+(G44*IT_Consultant_Daily_Rate)</f>
        <v>27060.000000000004</v>
      </c>
      <c r="H48" s="675">
        <f t="shared" si="8"/>
        <v>27060.000000000004</v>
      </c>
      <c r="I48" s="675">
        <f t="shared" si="8"/>
        <v>27060.000000000004</v>
      </c>
      <c r="J48" s="675">
        <f t="shared" si="8"/>
        <v>27060.000000000004</v>
      </c>
      <c r="K48" s="675">
        <f t="shared" si="8"/>
        <v>0</v>
      </c>
      <c r="L48" s="675">
        <f t="shared" si="8"/>
        <v>0</v>
      </c>
      <c r="M48" s="675">
        <f t="shared" si="8"/>
        <v>27255.866666666669</v>
      </c>
      <c r="N48" s="675">
        <f t="shared" si="8"/>
        <v>2336.2933333333335</v>
      </c>
      <c r="O48" s="675">
        <f t="shared" si="8"/>
        <v>11880.000000000002</v>
      </c>
    </row>
    <row r="49" spans="1:16" x14ac:dyDescent="0.25">
      <c r="A49" s="117"/>
      <c r="B49" s="124"/>
      <c r="C49" s="44"/>
      <c r="D49" s="44"/>
      <c r="E49" s="44"/>
      <c r="F49" s="118"/>
      <c r="G49" s="263"/>
      <c r="H49" s="263"/>
      <c r="I49" s="263"/>
      <c r="J49" s="263"/>
      <c r="K49" s="263"/>
      <c r="L49" s="263"/>
      <c r="M49" s="263"/>
      <c r="N49" s="263"/>
      <c r="O49" s="263"/>
    </row>
    <row r="50" spans="1:16" x14ac:dyDescent="0.25">
      <c r="A50" s="117"/>
      <c r="B50" s="124"/>
      <c r="C50" s="263" t="s">
        <v>139</v>
      </c>
      <c r="D50" s="44" t="s">
        <v>49</v>
      </c>
      <c r="E50" s="44" t="s">
        <v>47</v>
      </c>
      <c r="F50" s="118" t="s">
        <v>118</v>
      </c>
      <c r="G50" s="37">
        <f>Inputs_Delivery_Effort!AV24</f>
        <v>0.2</v>
      </c>
      <c r="H50" s="37">
        <f>Inputs_Delivery_Effort!AW24</f>
        <v>0.2</v>
      </c>
      <c r="I50" s="37">
        <f>Inputs_Delivery_Effort!AX24</f>
        <v>0.2</v>
      </c>
      <c r="J50" s="37">
        <f>Inputs_Delivery_Effort!AY24</f>
        <v>0.2</v>
      </c>
      <c r="K50" s="37">
        <f>Inputs_Delivery_Effort!AZ24</f>
        <v>0.2</v>
      </c>
      <c r="L50" s="37">
        <f>Inputs_Delivery_Effort!BA24</f>
        <v>0.2</v>
      </c>
      <c r="M50" s="37">
        <f>Inputs_Delivery_Effort!BB24</f>
        <v>0.2</v>
      </c>
      <c r="N50" s="37">
        <f>Inputs_Delivery_Effort!BC24</f>
        <v>0.2</v>
      </c>
      <c r="O50" s="37">
        <f>Inputs_Delivery_Effort!BD24</f>
        <v>0.2</v>
      </c>
    </row>
    <row r="51" spans="1:16" x14ac:dyDescent="0.25">
      <c r="A51" s="117"/>
      <c r="B51" s="124"/>
      <c r="C51" s="263" t="s">
        <v>139</v>
      </c>
      <c r="D51" s="44" t="s">
        <v>30</v>
      </c>
      <c r="E51" s="44" t="s">
        <v>42</v>
      </c>
      <c r="F51" s="118"/>
      <c r="G51" s="675">
        <f t="shared" ref="G51:O51" si="9">G48*G50</f>
        <v>5412.0000000000009</v>
      </c>
      <c r="H51" s="675">
        <f t="shared" si="9"/>
        <v>5412.0000000000009</v>
      </c>
      <c r="I51" s="675">
        <f t="shared" si="9"/>
        <v>5412.0000000000009</v>
      </c>
      <c r="J51" s="675">
        <f t="shared" si="9"/>
        <v>5412.0000000000009</v>
      </c>
      <c r="K51" s="675">
        <f t="shared" si="9"/>
        <v>0</v>
      </c>
      <c r="L51" s="675">
        <f t="shared" si="9"/>
        <v>0</v>
      </c>
      <c r="M51" s="675">
        <f t="shared" si="9"/>
        <v>5451.1733333333341</v>
      </c>
      <c r="N51" s="675">
        <f t="shared" si="9"/>
        <v>467.25866666666673</v>
      </c>
      <c r="O51" s="675">
        <f t="shared" si="9"/>
        <v>2376.0000000000005</v>
      </c>
    </row>
    <row r="52" spans="1:16" x14ac:dyDescent="0.25">
      <c r="A52" s="263"/>
      <c r="B52" s="263"/>
      <c r="C52" s="263"/>
      <c r="D52" s="263"/>
      <c r="E52" s="263"/>
      <c r="F52" s="263"/>
      <c r="G52" s="263"/>
      <c r="H52" s="263"/>
      <c r="I52" s="263"/>
      <c r="J52" s="263"/>
      <c r="K52" s="263"/>
      <c r="L52" s="263"/>
      <c r="M52" s="263"/>
      <c r="N52" s="263"/>
      <c r="O52" s="263"/>
    </row>
    <row r="53" spans="1:16" x14ac:dyDescent="0.25">
      <c r="A53" s="263"/>
      <c r="B53" s="263"/>
      <c r="C53" s="125" t="s">
        <v>166</v>
      </c>
      <c r="D53" s="125"/>
      <c r="E53" s="125"/>
      <c r="F53" s="126"/>
      <c r="G53" s="126"/>
      <c r="H53" s="126"/>
      <c r="I53" s="126"/>
      <c r="J53" s="126"/>
      <c r="K53" s="126"/>
      <c r="L53" s="126"/>
      <c r="M53" s="126"/>
      <c r="N53" s="126"/>
      <c r="O53" s="126"/>
    </row>
    <row r="54" spans="1:16" x14ac:dyDescent="0.25">
      <c r="A54" s="263"/>
      <c r="B54" s="263"/>
      <c r="C54" s="263"/>
      <c r="D54" s="263"/>
      <c r="E54" s="263"/>
      <c r="F54" s="263"/>
      <c r="G54" s="263"/>
      <c r="H54" s="263"/>
      <c r="I54" s="263"/>
      <c r="J54" s="263"/>
      <c r="K54" s="263"/>
      <c r="L54" s="263"/>
      <c r="M54" s="263"/>
      <c r="N54" s="263"/>
      <c r="O54" s="263"/>
    </row>
    <row r="55" spans="1:16" x14ac:dyDescent="0.25">
      <c r="A55" s="263"/>
      <c r="B55" s="263"/>
      <c r="C55" s="263" t="s">
        <v>166</v>
      </c>
      <c r="D55" s="44" t="s">
        <v>51</v>
      </c>
      <c r="E55" s="44" t="s">
        <v>50</v>
      </c>
      <c r="F55" s="118" t="s">
        <v>214</v>
      </c>
      <c r="G55" s="673">
        <f>Inputs_Delivery_Effort!AV27</f>
        <v>18.48</v>
      </c>
      <c r="H55" s="673">
        <f>Inputs_Delivery_Effort!AW27</f>
        <v>18.48</v>
      </c>
      <c r="I55" s="673">
        <f>Inputs_Delivery_Effort!AX27</f>
        <v>18.48</v>
      </c>
      <c r="J55" s="673">
        <f>Inputs_Delivery_Effort!AY27</f>
        <v>18.48</v>
      </c>
      <c r="K55" s="673">
        <f>Inputs_Delivery_Effort!AZ27</f>
        <v>0</v>
      </c>
      <c r="L55" s="673">
        <f>Inputs_Delivery_Effort!BA27</f>
        <v>0</v>
      </c>
      <c r="M55" s="673">
        <f>Inputs_Delivery_Effort!BB27</f>
        <v>9.24</v>
      </c>
      <c r="N55" s="673">
        <f>Inputs_Delivery_Effort!BC27</f>
        <v>0</v>
      </c>
      <c r="O55" s="673">
        <f>Inputs_Delivery_Effort!BD27</f>
        <v>9.24</v>
      </c>
    </row>
    <row r="56" spans="1:16" x14ac:dyDescent="0.25">
      <c r="A56" s="263"/>
      <c r="B56" s="263"/>
      <c r="C56" s="263" t="s">
        <v>166</v>
      </c>
      <c r="D56" s="263" t="s">
        <v>51</v>
      </c>
      <c r="E56" s="263" t="s">
        <v>50</v>
      </c>
      <c r="F56" s="263" t="s">
        <v>117</v>
      </c>
      <c r="G56" s="674">
        <f>Inputs_Delivery_Effort!AV29</f>
        <v>0.16000000000000003</v>
      </c>
      <c r="H56" s="674">
        <f>Inputs_Delivery_Effort!AW29</f>
        <v>0.16000000000000003</v>
      </c>
      <c r="I56" s="674">
        <f>Inputs_Delivery_Effort!AX29</f>
        <v>0.16000000000000003</v>
      </c>
      <c r="J56" s="674">
        <f>Inputs_Delivery_Effort!AY29</f>
        <v>0.16000000000000003</v>
      </c>
      <c r="K56" s="674">
        <f>Inputs_Delivery_Effort!AZ29</f>
        <v>0</v>
      </c>
      <c r="L56" s="674">
        <f>Inputs_Delivery_Effort!BA29</f>
        <v>0</v>
      </c>
      <c r="M56" s="674">
        <f>Inputs_Delivery_Effort!BB29</f>
        <v>0.16000000000000003</v>
      </c>
      <c r="N56" s="674">
        <f>Inputs_Delivery_Effort!BC29</f>
        <v>0.16000000000000003</v>
      </c>
      <c r="O56" s="674">
        <f>Inputs_Delivery_Effort!BD29</f>
        <v>0</v>
      </c>
    </row>
    <row r="57" spans="1:16" x14ac:dyDescent="0.25">
      <c r="A57" s="263"/>
      <c r="B57" s="263"/>
      <c r="C57" s="263" t="s">
        <v>166</v>
      </c>
      <c r="D57" s="263" t="s">
        <v>48</v>
      </c>
      <c r="E57" s="263" t="s">
        <v>50</v>
      </c>
      <c r="F57" s="263" t="s">
        <v>167</v>
      </c>
      <c r="G57" s="671">
        <f>Inputs_Delivery_Effort!AV30</f>
        <v>0</v>
      </c>
      <c r="H57" s="671">
        <f>Inputs_Delivery_Effort!AW30</f>
        <v>0</v>
      </c>
      <c r="I57" s="671">
        <f>Inputs_Delivery_Effort!AX30</f>
        <v>0</v>
      </c>
      <c r="J57" s="671">
        <f>Inputs_Delivery_Effort!AY30</f>
        <v>0</v>
      </c>
      <c r="K57" s="671">
        <f>Inputs_Delivery_Effort!AZ30</f>
        <v>0</v>
      </c>
      <c r="L57" s="671">
        <f>Inputs_Delivery_Effort!BA30</f>
        <v>0</v>
      </c>
      <c r="M57" s="671">
        <f>Inputs_Delivery_Effort!BB30</f>
        <v>100</v>
      </c>
      <c r="N57" s="671">
        <f>Inputs_Delivery_Effort!BC30</f>
        <v>5</v>
      </c>
      <c r="O57" s="671">
        <f>Inputs_Delivery_Effort!BD30</f>
        <v>0</v>
      </c>
    </row>
    <row r="58" spans="1:16" x14ac:dyDescent="0.25">
      <c r="A58" s="263"/>
      <c r="B58" s="263"/>
      <c r="C58" s="263" t="s">
        <v>166</v>
      </c>
      <c r="D58" s="263" t="s">
        <v>30</v>
      </c>
      <c r="E58" s="263" t="s">
        <v>50</v>
      </c>
      <c r="F58" s="118" t="s">
        <v>70</v>
      </c>
      <c r="G58" s="112">
        <f>Inputs_CPs!F$11</f>
        <v>142.97777777777776</v>
      </c>
      <c r="H58" s="112">
        <f>Inputs_CPs!G$11</f>
        <v>142.97777777777776</v>
      </c>
      <c r="I58" s="112">
        <f>Inputs_CPs!H$11</f>
        <v>142.97777777777776</v>
      </c>
      <c r="J58" s="112">
        <f>Inputs_CPs!I$11</f>
        <v>142.97777777777776</v>
      </c>
      <c r="K58" s="112">
        <f>Inputs_CPs!N$11</f>
        <v>142.97777777777776</v>
      </c>
      <c r="L58" s="112">
        <f>Inputs_CPs!O$11</f>
        <v>142.97777777777776</v>
      </c>
      <c r="M58" s="112">
        <f>Inputs_CPs!K$11</f>
        <v>142.97777777777776</v>
      </c>
      <c r="N58" s="112">
        <f>Inputs_CPs!L$11</f>
        <v>142.97777777777776</v>
      </c>
      <c r="O58" s="112">
        <f>Inputs_CPs!M$11</f>
        <v>142.97777777777776</v>
      </c>
    </row>
    <row r="59" spans="1:16" x14ac:dyDescent="0.25">
      <c r="A59" s="263"/>
      <c r="B59" s="263"/>
      <c r="C59" s="263" t="s">
        <v>166</v>
      </c>
      <c r="D59" s="263" t="s">
        <v>30</v>
      </c>
      <c r="E59" s="263" t="s">
        <v>43</v>
      </c>
      <c r="F59" s="263"/>
      <c r="G59" s="675">
        <f t="shared" ref="G59:O59" si="10">(G56*G58*G57)+(G55*IT_Consultant_Daily_Rate)</f>
        <v>9240</v>
      </c>
      <c r="H59" s="675">
        <f t="shared" si="10"/>
        <v>9240</v>
      </c>
      <c r="I59" s="675">
        <f t="shared" si="10"/>
        <v>9240</v>
      </c>
      <c r="J59" s="675">
        <f t="shared" si="10"/>
        <v>9240</v>
      </c>
      <c r="K59" s="675">
        <f t="shared" si="10"/>
        <v>0</v>
      </c>
      <c r="L59" s="675">
        <f t="shared" si="10"/>
        <v>0</v>
      </c>
      <c r="M59" s="675">
        <f t="shared" si="10"/>
        <v>6907.6444444444442</v>
      </c>
      <c r="N59" s="675">
        <f t="shared" si="10"/>
        <v>114.38222222222223</v>
      </c>
      <c r="O59" s="675">
        <f t="shared" si="10"/>
        <v>4620</v>
      </c>
    </row>
    <row r="60" spans="1:16" x14ac:dyDescent="0.25">
      <c r="A60" s="263"/>
      <c r="B60" s="263"/>
      <c r="C60" s="263"/>
      <c r="D60" s="263"/>
      <c r="E60" s="263"/>
      <c r="F60" s="263"/>
      <c r="G60" s="263"/>
      <c r="H60" s="263"/>
      <c r="I60" s="263"/>
      <c r="J60" s="263"/>
      <c r="K60" s="263"/>
      <c r="L60" s="263"/>
      <c r="M60" s="263"/>
      <c r="N60" s="263"/>
      <c r="O60" s="263"/>
      <c r="P60" s="42"/>
    </row>
    <row r="61" spans="1:16" x14ac:dyDescent="0.25">
      <c r="A61" s="117"/>
      <c r="B61" s="124"/>
      <c r="C61" s="263" t="s">
        <v>166</v>
      </c>
      <c r="D61" s="44" t="s">
        <v>49</v>
      </c>
      <c r="E61" s="44" t="s">
        <v>47</v>
      </c>
      <c r="F61" s="118" t="s">
        <v>118</v>
      </c>
      <c r="G61" s="37">
        <f>Inputs_Delivery_Effort!AV28</f>
        <v>0.2</v>
      </c>
      <c r="H61" s="37">
        <f>Inputs_Delivery_Effort!AW28</f>
        <v>0.2</v>
      </c>
      <c r="I61" s="37">
        <f>Inputs_Delivery_Effort!AX28</f>
        <v>0.2</v>
      </c>
      <c r="J61" s="37">
        <f>Inputs_Delivery_Effort!AY28</f>
        <v>0.2</v>
      </c>
      <c r="K61" s="37">
        <f>Inputs_Delivery_Effort!AZ28</f>
        <v>0.2</v>
      </c>
      <c r="L61" s="37">
        <f>Inputs_Delivery_Effort!BA28</f>
        <v>0.2</v>
      </c>
      <c r="M61" s="37">
        <f>Inputs_Delivery_Effort!BB28</f>
        <v>0.2</v>
      </c>
      <c r="N61" s="37">
        <f>Inputs_Delivery_Effort!BC28</f>
        <v>0.2</v>
      </c>
      <c r="O61" s="37">
        <f>Inputs_Delivery_Effort!BD28</f>
        <v>0.2</v>
      </c>
    </row>
    <row r="62" spans="1:16" x14ac:dyDescent="0.25">
      <c r="A62" s="117"/>
      <c r="B62" s="124"/>
      <c r="C62" s="263" t="s">
        <v>166</v>
      </c>
      <c r="D62" s="44" t="s">
        <v>30</v>
      </c>
      <c r="E62" s="44" t="s">
        <v>42</v>
      </c>
      <c r="F62" s="118"/>
      <c r="G62" s="675">
        <f t="shared" ref="G62:O62" si="11">G59*G61</f>
        <v>1848</v>
      </c>
      <c r="H62" s="675">
        <f t="shared" si="11"/>
        <v>1848</v>
      </c>
      <c r="I62" s="675">
        <f t="shared" si="11"/>
        <v>1848</v>
      </c>
      <c r="J62" s="675">
        <f t="shared" si="11"/>
        <v>1848</v>
      </c>
      <c r="K62" s="675">
        <f t="shared" si="11"/>
        <v>0</v>
      </c>
      <c r="L62" s="675">
        <f t="shared" si="11"/>
        <v>0</v>
      </c>
      <c r="M62" s="675">
        <f t="shared" si="11"/>
        <v>1381.528888888889</v>
      </c>
      <c r="N62" s="675">
        <f t="shared" si="11"/>
        <v>22.876444444444445</v>
      </c>
      <c r="O62" s="675">
        <f t="shared" si="11"/>
        <v>924</v>
      </c>
    </row>
    <row r="63" spans="1:16" x14ac:dyDescent="0.25">
      <c r="A63" s="263"/>
      <c r="B63" s="263"/>
      <c r="C63" s="263"/>
      <c r="D63" s="263"/>
      <c r="E63" s="263"/>
      <c r="F63" s="263"/>
      <c r="G63" s="263"/>
      <c r="H63" s="263"/>
      <c r="I63" s="263"/>
      <c r="J63" s="263"/>
      <c r="K63" s="263"/>
      <c r="L63" s="263"/>
      <c r="M63" s="263"/>
      <c r="N63" s="263"/>
      <c r="O63" s="263"/>
    </row>
    <row r="64" spans="1:16" x14ac:dyDescent="0.25">
      <c r="A64" s="263"/>
      <c r="B64" s="263"/>
      <c r="C64" s="125" t="s">
        <v>168</v>
      </c>
      <c r="D64" s="125"/>
      <c r="E64" s="125"/>
      <c r="F64" s="126"/>
      <c r="G64" s="126"/>
      <c r="H64" s="126"/>
      <c r="I64" s="126"/>
      <c r="J64" s="126"/>
      <c r="K64" s="126"/>
      <c r="L64" s="126"/>
      <c r="M64" s="126"/>
      <c r="N64" s="126"/>
      <c r="O64" s="126"/>
    </row>
    <row r="65" spans="1:15" x14ac:dyDescent="0.25">
      <c r="A65" s="263"/>
      <c r="B65" s="263"/>
      <c r="C65" s="263"/>
      <c r="D65" s="263"/>
      <c r="E65" s="263"/>
      <c r="F65" s="263"/>
      <c r="G65" s="263"/>
      <c r="H65" s="263"/>
      <c r="I65" s="263"/>
      <c r="J65" s="263"/>
      <c r="K65" s="263"/>
      <c r="L65" s="263"/>
      <c r="M65" s="263"/>
      <c r="N65" s="263"/>
      <c r="O65" s="263"/>
    </row>
    <row r="66" spans="1:15" x14ac:dyDescent="0.25">
      <c r="A66" s="263"/>
      <c r="B66" s="263"/>
      <c r="C66" s="263" t="s">
        <v>168</v>
      </c>
      <c r="D66" s="44" t="s">
        <v>51</v>
      </c>
      <c r="E66" s="44" t="s">
        <v>50</v>
      </c>
      <c r="F66" s="118" t="s">
        <v>214</v>
      </c>
      <c r="G66" s="673">
        <f>Inputs_Delivery_Effort!AV31</f>
        <v>3.3000000000000003</v>
      </c>
      <c r="H66" s="673">
        <f>Inputs_Delivery_Effort!AW31</f>
        <v>3.3000000000000003</v>
      </c>
      <c r="I66" s="673">
        <f>Inputs_Delivery_Effort!AX31</f>
        <v>3.3000000000000003</v>
      </c>
      <c r="J66" s="673">
        <f>Inputs_Delivery_Effort!AY31</f>
        <v>3.3000000000000003</v>
      </c>
      <c r="K66" s="673">
        <f>Inputs_Delivery_Effort!AZ31</f>
        <v>0</v>
      </c>
      <c r="L66" s="673">
        <f>Inputs_Delivery_Effort!BA31</f>
        <v>0</v>
      </c>
      <c r="M66" s="673">
        <f>Inputs_Delivery_Effort!BB31</f>
        <v>1.6500000000000001</v>
      </c>
      <c r="N66" s="673">
        <f>Inputs_Delivery_Effort!BC31</f>
        <v>0</v>
      </c>
      <c r="O66" s="673">
        <f>Inputs_Delivery_Effort!BD31</f>
        <v>1.6500000000000001</v>
      </c>
    </row>
    <row r="67" spans="1:15" x14ac:dyDescent="0.25">
      <c r="A67" s="263"/>
      <c r="B67" s="263"/>
      <c r="C67" s="263" t="s">
        <v>168</v>
      </c>
      <c r="D67" s="263" t="s">
        <v>51</v>
      </c>
      <c r="E67" s="263" t="s">
        <v>50</v>
      </c>
      <c r="F67" s="263" t="s">
        <v>117</v>
      </c>
      <c r="G67" s="674">
        <f>Inputs_Delivery_Effort!AV33</f>
        <v>0.2</v>
      </c>
      <c r="H67" s="674">
        <f>Inputs_Delivery_Effort!AW33</f>
        <v>0.2</v>
      </c>
      <c r="I67" s="674">
        <f>Inputs_Delivery_Effort!AX33</f>
        <v>0.2</v>
      </c>
      <c r="J67" s="674">
        <f>Inputs_Delivery_Effort!AY33</f>
        <v>0.2</v>
      </c>
      <c r="K67" s="674">
        <f>Inputs_Delivery_Effort!AZ33</f>
        <v>0</v>
      </c>
      <c r="L67" s="674">
        <f>Inputs_Delivery_Effort!BA33</f>
        <v>0</v>
      </c>
      <c r="M67" s="674">
        <f>Inputs_Delivery_Effort!BB33</f>
        <v>0.2</v>
      </c>
      <c r="N67" s="674">
        <f>Inputs_Delivery_Effort!BC33</f>
        <v>0.2</v>
      </c>
      <c r="O67" s="674">
        <f>Inputs_Delivery_Effort!BD33</f>
        <v>0</v>
      </c>
    </row>
    <row r="68" spans="1:15" x14ac:dyDescent="0.25">
      <c r="A68" s="263"/>
      <c r="B68" s="263"/>
      <c r="C68" s="263" t="s">
        <v>168</v>
      </c>
      <c r="D68" s="263" t="s">
        <v>48</v>
      </c>
      <c r="E68" s="263" t="s">
        <v>50</v>
      </c>
      <c r="F68" s="263" t="s">
        <v>182</v>
      </c>
      <c r="G68" s="671">
        <f>Inputs_Delivery_Effort!AV34</f>
        <v>0</v>
      </c>
      <c r="H68" s="671">
        <f>Inputs_Delivery_Effort!AW34</f>
        <v>0</v>
      </c>
      <c r="I68" s="671">
        <f>Inputs_Delivery_Effort!AX34</f>
        <v>0</v>
      </c>
      <c r="J68" s="671">
        <f>Inputs_Delivery_Effort!AY34</f>
        <v>0</v>
      </c>
      <c r="K68" s="671">
        <f>Inputs_Delivery_Effort!AZ34</f>
        <v>0</v>
      </c>
      <c r="L68" s="671">
        <f>Inputs_Delivery_Effort!BA34</f>
        <v>0</v>
      </c>
      <c r="M68" s="671">
        <f>Inputs_Delivery_Effort!BB34</f>
        <v>100</v>
      </c>
      <c r="N68" s="671">
        <f>Inputs_Delivery_Effort!BC34</f>
        <v>5</v>
      </c>
      <c r="O68" s="671">
        <f>Inputs_Delivery_Effort!BD34</f>
        <v>0</v>
      </c>
    </row>
    <row r="69" spans="1:15" x14ac:dyDescent="0.25">
      <c r="A69" s="263"/>
      <c r="B69" s="263"/>
      <c r="C69" s="263" t="s">
        <v>168</v>
      </c>
      <c r="D69" s="263" t="s">
        <v>30</v>
      </c>
      <c r="E69" s="263" t="s">
        <v>50</v>
      </c>
      <c r="F69" s="118" t="s">
        <v>70</v>
      </c>
      <c r="G69" s="112">
        <f>Inputs_CPs!F$11</f>
        <v>142.97777777777776</v>
      </c>
      <c r="H69" s="112">
        <f>Inputs_CPs!G$11</f>
        <v>142.97777777777776</v>
      </c>
      <c r="I69" s="112">
        <f>Inputs_CPs!H$11</f>
        <v>142.97777777777776</v>
      </c>
      <c r="J69" s="112">
        <f>Inputs_CPs!I$11</f>
        <v>142.97777777777776</v>
      </c>
      <c r="K69" s="112">
        <f>Inputs_CPs!N$11</f>
        <v>142.97777777777776</v>
      </c>
      <c r="L69" s="112">
        <f>Inputs_CPs!O$11</f>
        <v>142.97777777777776</v>
      </c>
      <c r="M69" s="112">
        <f>Inputs_CPs!K$11</f>
        <v>142.97777777777776</v>
      </c>
      <c r="N69" s="112">
        <f>Inputs_CPs!L$11</f>
        <v>142.97777777777776</v>
      </c>
      <c r="O69" s="112">
        <f>Inputs_CPs!M$11</f>
        <v>142.97777777777776</v>
      </c>
    </row>
    <row r="70" spans="1:15" x14ac:dyDescent="0.25">
      <c r="A70" s="263"/>
      <c r="B70" s="263"/>
      <c r="C70" s="263" t="s">
        <v>168</v>
      </c>
      <c r="D70" s="263" t="s">
        <v>30</v>
      </c>
      <c r="E70" s="263" t="s">
        <v>43</v>
      </c>
      <c r="F70" s="263"/>
      <c r="G70" s="675">
        <f t="shared" ref="G70:O70" si="12">(G67*G69*G68)+(G66*IT_Consultant_Daily_Rate)</f>
        <v>1650.0000000000002</v>
      </c>
      <c r="H70" s="675">
        <f t="shared" si="12"/>
        <v>1650.0000000000002</v>
      </c>
      <c r="I70" s="675">
        <f t="shared" si="12"/>
        <v>1650.0000000000002</v>
      </c>
      <c r="J70" s="675">
        <f t="shared" si="12"/>
        <v>1650.0000000000002</v>
      </c>
      <c r="K70" s="675">
        <f t="shared" si="12"/>
        <v>0</v>
      </c>
      <c r="L70" s="675">
        <f t="shared" si="12"/>
        <v>0</v>
      </c>
      <c r="M70" s="675">
        <f t="shared" si="12"/>
        <v>3684.5555555555552</v>
      </c>
      <c r="N70" s="675">
        <f t="shared" si="12"/>
        <v>142.97777777777776</v>
      </c>
      <c r="O70" s="675">
        <f t="shared" si="12"/>
        <v>825.00000000000011</v>
      </c>
    </row>
    <row r="71" spans="1:15" x14ac:dyDescent="0.25">
      <c r="A71" s="263"/>
      <c r="B71" s="263"/>
      <c r="C71" s="263"/>
      <c r="D71" s="263"/>
      <c r="E71" s="263"/>
      <c r="F71" s="263"/>
      <c r="G71" s="263"/>
      <c r="H71" s="263"/>
      <c r="I71" s="263"/>
      <c r="J71" s="263"/>
      <c r="K71" s="263"/>
      <c r="L71" s="263"/>
      <c r="M71" s="263"/>
      <c r="N71" s="263"/>
      <c r="O71" s="263"/>
    </row>
    <row r="72" spans="1:15" x14ac:dyDescent="0.25">
      <c r="A72" s="263"/>
      <c r="B72" s="263"/>
      <c r="C72" s="263" t="s">
        <v>168</v>
      </c>
      <c r="D72" s="44" t="s">
        <v>49</v>
      </c>
      <c r="E72" s="44" t="s">
        <v>47</v>
      </c>
      <c r="F72" s="118" t="s">
        <v>118</v>
      </c>
      <c r="G72" s="37">
        <f>Inputs_Delivery_Effort!AV32</f>
        <v>0.2</v>
      </c>
      <c r="H72" s="37">
        <f>Inputs_Delivery_Effort!AW32</f>
        <v>0.2</v>
      </c>
      <c r="I72" s="37">
        <f>Inputs_Delivery_Effort!AX32</f>
        <v>0.2</v>
      </c>
      <c r="J72" s="37">
        <f>Inputs_Delivery_Effort!AY32</f>
        <v>0.2</v>
      </c>
      <c r="K72" s="37">
        <f>Inputs_Delivery_Effort!AZ32</f>
        <v>0.2</v>
      </c>
      <c r="L72" s="37">
        <f>Inputs_Delivery_Effort!BA32</f>
        <v>0.2</v>
      </c>
      <c r="M72" s="37">
        <f>Inputs_Delivery_Effort!BB32</f>
        <v>0.2</v>
      </c>
      <c r="N72" s="37">
        <f>Inputs_Delivery_Effort!BC32</f>
        <v>0.2</v>
      </c>
      <c r="O72" s="37">
        <f>Inputs_Delivery_Effort!BD32</f>
        <v>0.2</v>
      </c>
    </row>
    <row r="73" spans="1:15" x14ac:dyDescent="0.25">
      <c r="A73" s="263"/>
      <c r="B73" s="263"/>
      <c r="C73" s="263" t="s">
        <v>168</v>
      </c>
      <c r="D73" s="44" t="s">
        <v>30</v>
      </c>
      <c r="E73" s="44" t="s">
        <v>42</v>
      </c>
      <c r="F73" s="118"/>
      <c r="G73" s="675">
        <f t="shared" ref="G73:O73" si="13">G70*G72</f>
        <v>330.00000000000006</v>
      </c>
      <c r="H73" s="675">
        <f t="shared" si="13"/>
        <v>330.00000000000006</v>
      </c>
      <c r="I73" s="675">
        <f t="shared" si="13"/>
        <v>330.00000000000006</v>
      </c>
      <c r="J73" s="675">
        <f t="shared" si="13"/>
        <v>330.00000000000006</v>
      </c>
      <c r="K73" s="675">
        <f t="shared" si="13"/>
        <v>0</v>
      </c>
      <c r="L73" s="675">
        <f t="shared" si="13"/>
        <v>0</v>
      </c>
      <c r="M73" s="675">
        <f t="shared" si="13"/>
        <v>736.91111111111104</v>
      </c>
      <c r="N73" s="675">
        <f t="shared" si="13"/>
        <v>28.595555555555553</v>
      </c>
      <c r="O73" s="675">
        <f t="shared" si="13"/>
        <v>165.00000000000003</v>
      </c>
    </row>
    <row r="74" spans="1:15" x14ac:dyDescent="0.25">
      <c r="G74" s="18"/>
      <c r="H74" s="18"/>
      <c r="I74" s="18"/>
      <c r="J74" s="18"/>
      <c r="K74" s="18"/>
      <c r="L74" s="18"/>
      <c r="M74" s="18"/>
      <c r="N74" s="18"/>
      <c r="O74" s="18"/>
    </row>
  </sheetData>
  <mergeCells count="1">
    <mergeCell ref="G4:J4"/>
  </mergeCells>
  <pageMargins left="0.7" right="0.7" top="0.75" bottom="0.75" header="0.3" footer="0.3"/>
  <pageSetup paperSize="0" orientation="portrait" horizontalDpi="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34998626667073579"/>
  </sheetPr>
  <dimension ref="A2:Q61"/>
  <sheetViews>
    <sheetView showGridLines="0" topLeftCell="B1" zoomScale="85" zoomScaleNormal="85" workbookViewId="0">
      <pane ySplit="5" topLeftCell="A6" activePane="bottomLeft" state="frozen"/>
      <selection pane="bottomLeft" activeCell="E48" sqref="E48"/>
    </sheetView>
  </sheetViews>
  <sheetFormatPr defaultColWidth="9.140625" defaultRowHeight="12.75" x14ac:dyDescent="0.2"/>
  <cols>
    <col min="1" max="2" width="9.140625" style="51"/>
    <col min="3" max="3" width="10.85546875" style="51" customWidth="1"/>
    <col min="4" max="4" width="26" style="51" customWidth="1"/>
    <col min="5" max="5" width="162.42578125" style="51" bestFit="1" customWidth="1"/>
    <col min="6" max="16" width="9.140625" style="51"/>
    <col min="17" max="17" width="50.7109375" style="55" customWidth="1"/>
    <col min="18" max="16384" width="9.140625" style="51"/>
  </cols>
  <sheetData>
    <row r="2" spans="2:17" x14ac:dyDescent="0.2">
      <c r="B2" s="51" t="s">
        <v>0</v>
      </c>
      <c r="D2" s="52" t="str">
        <f ca="1">MID(CELL("filename",A1),FIND("]",CELL("filename",A1))+1,256)</f>
        <v>Model_Overview</v>
      </c>
      <c r="Q2" s="51"/>
    </row>
    <row r="3" spans="2:17" x14ac:dyDescent="0.2">
      <c r="B3" s="51" t="s">
        <v>1</v>
      </c>
      <c r="D3" s="51" t="s">
        <v>41</v>
      </c>
      <c r="Q3" s="51"/>
    </row>
    <row r="5" spans="2:17" s="53" customFormat="1" x14ac:dyDescent="0.2">
      <c r="Q5" s="54"/>
    </row>
    <row r="6" spans="2:17" x14ac:dyDescent="0.2">
      <c r="F6" s="13"/>
      <c r="G6" s="13"/>
      <c r="H6" s="13"/>
      <c r="I6" s="13"/>
      <c r="J6" s="13"/>
      <c r="K6" s="13"/>
      <c r="L6" s="13"/>
      <c r="M6" s="13"/>
      <c r="N6" s="13"/>
      <c r="O6" s="13"/>
      <c r="P6" s="13"/>
      <c r="Q6" s="14"/>
    </row>
    <row r="7" spans="2:17" x14ac:dyDescent="0.2">
      <c r="B7" s="52"/>
    </row>
    <row r="8" spans="2:17" x14ac:dyDescent="0.2">
      <c r="C8" s="52"/>
    </row>
    <row r="9" spans="2:17" x14ac:dyDescent="0.2">
      <c r="C9" s="52"/>
      <c r="D9" s="52"/>
    </row>
    <row r="10" spans="2:17" x14ac:dyDescent="0.2">
      <c r="C10" s="52"/>
      <c r="F10" s="56"/>
      <c r="G10" s="56"/>
      <c r="H10" s="56"/>
      <c r="I10" s="57"/>
      <c r="J10" s="57"/>
      <c r="K10" s="57"/>
      <c r="L10" s="57"/>
      <c r="M10" s="57"/>
      <c r="N10" s="57"/>
      <c r="O10" s="57"/>
    </row>
    <row r="11" spans="2:17" x14ac:dyDescent="0.2">
      <c r="C11" s="52"/>
      <c r="F11" s="58"/>
      <c r="G11" s="57"/>
      <c r="H11" s="57"/>
      <c r="I11" s="57"/>
      <c r="J11" s="57"/>
      <c r="K11" s="57"/>
      <c r="L11" s="57"/>
      <c r="M11" s="57"/>
      <c r="N11" s="57"/>
      <c r="O11" s="57"/>
    </row>
    <row r="12" spans="2:17" x14ac:dyDescent="0.2">
      <c r="C12" s="52"/>
      <c r="F12" s="57"/>
      <c r="G12" s="57"/>
      <c r="H12" s="57"/>
      <c r="I12" s="57"/>
      <c r="J12" s="57"/>
      <c r="K12" s="57"/>
      <c r="L12" s="57"/>
      <c r="M12" s="57"/>
      <c r="N12" s="57"/>
      <c r="O12" s="57"/>
    </row>
    <row r="13" spans="2:17" x14ac:dyDescent="0.2">
      <c r="C13" s="52"/>
      <c r="D13" s="52"/>
      <c r="F13" s="57"/>
      <c r="G13" s="57"/>
      <c r="H13" s="57"/>
      <c r="I13" s="57"/>
      <c r="J13" s="57"/>
      <c r="K13" s="57"/>
      <c r="L13" s="57"/>
      <c r="M13" s="57"/>
      <c r="N13" s="57"/>
      <c r="O13" s="57"/>
    </row>
    <row r="14" spans="2:17" x14ac:dyDescent="0.2">
      <c r="F14" s="59"/>
      <c r="G14" s="59"/>
      <c r="H14" s="59"/>
      <c r="I14" s="59"/>
      <c r="J14" s="59"/>
      <c r="K14" s="59"/>
      <c r="L14" s="59"/>
      <c r="M14" s="59"/>
      <c r="N14" s="59"/>
      <c r="O14" s="59"/>
      <c r="Q14" s="60"/>
    </row>
    <row r="15" spans="2:17" x14ac:dyDescent="0.2">
      <c r="F15" s="61"/>
      <c r="G15" s="61"/>
      <c r="H15" s="61"/>
      <c r="I15" s="61"/>
      <c r="J15" s="61"/>
      <c r="K15" s="61"/>
      <c r="L15" s="61"/>
      <c r="M15" s="61"/>
      <c r="N15" s="61"/>
      <c r="O15" s="61"/>
    </row>
    <row r="16" spans="2:17" s="62" customFormat="1" x14ac:dyDescent="0.2">
      <c r="D16" s="51"/>
      <c r="E16" s="51"/>
      <c r="F16" s="61"/>
      <c r="G16" s="61"/>
      <c r="H16" s="61"/>
      <c r="I16" s="61"/>
      <c r="J16" s="61"/>
      <c r="K16" s="61"/>
      <c r="L16" s="61"/>
      <c r="M16" s="61"/>
      <c r="N16" s="61"/>
      <c r="O16" s="61"/>
      <c r="P16" s="51"/>
      <c r="Q16" s="55"/>
    </row>
    <row r="17" spans="1:15" x14ac:dyDescent="0.2">
      <c r="A17" s="63"/>
      <c r="B17" s="63"/>
      <c r="F17" s="64"/>
      <c r="G17" s="64"/>
      <c r="H17" s="64"/>
      <c r="I17" s="64"/>
      <c r="J17" s="64"/>
      <c r="K17" s="64"/>
      <c r="L17" s="64"/>
      <c r="M17" s="64"/>
      <c r="N17" s="64"/>
      <c r="O17" s="64"/>
    </row>
    <row r="18" spans="1:15" x14ac:dyDescent="0.2">
      <c r="A18" s="63"/>
      <c r="B18" s="63"/>
      <c r="F18" s="65"/>
      <c r="G18" s="65"/>
      <c r="H18" s="65"/>
      <c r="I18" s="65"/>
      <c r="J18" s="65"/>
      <c r="K18" s="65"/>
      <c r="L18" s="65"/>
      <c r="M18" s="65"/>
      <c r="N18" s="65"/>
      <c r="O18" s="65"/>
    </row>
    <row r="19" spans="1:15" x14ac:dyDescent="0.2">
      <c r="A19" s="63"/>
      <c r="B19" s="63"/>
      <c r="F19" s="66"/>
      <c r="G19" s="66"/>
      <c r="H19" s="66"/>
      <c r="I19" s="66"/>
      <c r="J19" s="66"/>
      <c r="K19" s="66"/>
      <c r="L19" s="66"/>
      <c r="M19" s="66"/>
      <c r="N19" s="66"/>
      <c r="O19" s="66"/>
    </row>
    <row r="23" spans="1:15" x14ac:dyDescent="0.2">
      <c r="E23" s="67"/>
      <c r="F23" s="67"/>
      <c r="G23" s="68"/>
      <c r="I23" s="69"/>
    </row>
    <row r="36" spans="3:17" ht="13.5" thickBot="1" x14ac:dyDescent="0.25">
      <c r="C36" s="101"/>
      <c r="D36" s="101"/>
      <c r="E36" s="102" t="s">
        <v>12</v>
      </c>
      <c r="F36" s="91"/>
      <c r="G36" s="91"/>
      <c r="H36" s="91"/>
    </row>
    <row r="37" spans="3:17" ht="7.5" customHeight="1" thickTop="1" x14ac:dyDescent="0.2">
      <c r="E37" s="52"/>
      <c r="F37" s="91"/>
      <c r="G37" s="91"/>
      <c r="H37" s="91"/>
    </row>
    <row r="38" spans="3:17" x14ac:dyDescent="0.2">
      <c r="C38" s="707" t="s">
        <v>126</v>
      </c>
      <c r="D38" s="99" t="s">
        <v>81</v>
      </c>
      <c r="E38" s="100" t="s">
        <v>448</v>
      </c>
      <c r="F38" s="91"/>
      <c r="G38" s="91"/>
      <c r="H38" s="91"/>
    </row>
    <row r="39" spans="3:17" x14ac:dyDescent="0.2">
      <c r="C39" s="708"/>
      <c r="D39" s="99" t="s">
        <v>82</v>
      </c>
      <c r="E39" s="279" t="s">
        <v>449</v>
      </c>
      <c r="F39" s="91"/>
      <c r="G39" s="91"/>
      <c r="H39" s="91"/>
    </row>
    <row r="40" spans="3:17" x14ac:dyDescent="0.2">
      <c r="C40" s="708"/>
      <c r="D40" s="99" t="s">
        <v>83</v>
      </c>
      <c r="E40" s="100" t="s">
        <v>127</v>
      </c>
      <c r="F40" s="91"/>
      <c r="G40" s="91"/>
      <c r="H40" s="91"/>
    </row>
    <row r="41" spans="3:17" x14ac:dyDescent="0.2">
      <c r="C41" s="709"/>
      <c r="D41" s="99" t="s">
        <v>90</v>
      </c>
      <c r="E41" s="100" t="s">
        <v>447</v>
      </c>
      <c r="F41" s="91"/>
      <c r="G41" s="91"/>
      <c r="H41" s="91"/>
    </row>
    <row r="42" spans="3:17" s="62" customFormat="1" x14ac:dyDescent="0.2">
      <c r="D42" s="15"/>
      <c r="E42" s="85"/>
      <c r="F42" s="98"/>
      <c r="G42" s="98"/>
      <c r="H42" s="98"/>
      <c r="Q42" s="60"/>
    </row>
    <row r="43" spans="3:17" x14ac:dyDescent="0.2">
      <c r="C43" s="706" t="s">
        <v>101</v>
      </c>
      <c r="D43" s="90" t="s">
        <v>100</v>
      </c>
      <c r="E43" s="90" t="str">
        <f>Inputs_General!C3</f>
        <v>This sheet captures the general assumptions used in costing model</v>
      </c>
      <c r="F43" s="91"/>
      <c r="G43" s="91"/>
      <c r="H43" s="91"/>
    </row>
    <row r="44" spans="3:17" x14ac:dyDescent="0.2">
      <c r="C44" s="706"/>
      <c r="D44" s="90" t="str">
        <f ca="1">Inputs_Switching!C2</f>
        <v>Inputs_Switching</v>
      </c>
      <c r="E44" s="90" t="str">
        <f>Inputs_Switching!C3</f>
        <v>This sheet calculates the total cost per switch derived from the different time assumptions for each of the identified switching scenarios</v>
      </c>
      <c r="F44" s="91"/>
      <c r="G44" s="91"/>
      <c r="H44" s="91"/>
    </row>
    <row r="45" spans="3:17" x14ac:dyDescent="0.2">
      <c r="C45" s="706"/>
      <c r="D45" s="90" t="str">
        <f ca="1">Inputs_CPs!C2</f>
        <v>Inputs_CPs</v>
      </c>
      <c r="E45" s="90" t="str">
        <f>Inputs_CPs!C3</f>
        <v>This sheet captures CP related assumptions used in costing model e.g. training cost and volumes</v>
      </c>
      <c r="F45" s="91"/>
      <c r="G45" s="91"/>
      <c r="H45" s="91"/>
    </row>
    <row r="46" spans="3:17" x14ac:dyDescent="0.2">
      <c r="C46" s="706"/>
      <c r="D46" s="90" t="s">
        <v>523</v>
      </c>
      <c r="E46" s="90" t="str">
        <f>Inputs_Estimates!C3</f>
        <v>This sheet captures the different assumptions for the delivery effort estimates. These estimates are applied to each one of the major changes per switching model in the 'Inputs_Estimates' tab.</v>
      </c>
      <c r="F46" s="91"/>
      <c r="G46" s="91"/>
      <c r="H46" s="91"/>
    </row>
    <row r="47" spans="3:17" ht="25.5" x14ac:dyDescent="0.2">
      <c r="C47" s="706"/>
      <c r="D47" s="90" t="s">
        <v>367</v>
      </c>
      <c r="E47" s="152" t="str">
        <f>Inputs_Delivery_Effort!E3</f>
        <v>This sheet contains the independent time estimates for the development effort for each of the impacted processes and system applications per each alternative switching model, as identified in the process spec documents; a summary view of the estimates is presented at the top; break-down per each major process change below.</v>
      </c>
      <c r="F47" s="91"/>
      <c r="G47" s="91"/>
      <c r="H47" s="91"/>
    </row>
    <row r="48" spans="3:17" x14ac:dyDescent="0.2">
      <c r="C48" s="706"/>
      <c r="D48" s="90" t="s">
        <v>259</v>
      </c>
      <c r="E48" s="90" t="str">
        <f>Inputs_Switchers!C3</f>
        <v>This sheet contains the volumes of cross-platform switches by CP by package switched to</v>
      </c>
      <c r="F48" s="91"/>
      <c r="G48" s="91"/>
      <c r="H48" s="91"/>
    </row>
    <row r="49" spans="3:8" x14ac:dyDescent="0.2">
      <c r="F49" s="91"/>
      <c r="G49" s="91"/>
      <c r="H49" s="91"/>
    </row>
    <row r="50" spans="3:8" x14ac:dyDescent="0.2">
      <c r="C50" s="706" t="s">
        <v>103</v>
      </c>
      <c r="D50" s="90" t="str">
        <f ca="1">General_Solutions!C2</f>
        <v>General_Solutions</v>
      </c>
      <c r="E50" s="90" t="str">
        <f>General_Solutions!C3</f>
        <v>This sheet provides an overview of the total cost of delivery of the process and system changes for implementing the model-independent solutions: IS added to the monthly bill</v>
      </c>
    </row>
    <row r="51" spans="3:8" x14ac:dyDescent="0.2">
      <c r="C51" s="706"/>
      <c r="D51" s="90" t="s">
        <v>310</v>
      </c>
      <c r="E51" s="218" t="str">
        <f>'GPL-EMP Process Workings'!C3</f>
        <v>This sheet provides an overview of the total cost of delivery of the process changes for implementing the GPL-EMP switching model</v>
      </c>
    </row>
    <row r="52" spans="3:8" x14ac:dyDescent="0.2">
      <c r="C52" s="706"/>
      <c r="D52" s="90" t="s">
        <v>315</v>
      </c>
      <c r="E52" s="90" t="str">
        <f>'GPL-EMP System Workings'!C3</f>
        <v>This sheet provides an overview of the total cost of delivery of the system changes for implementing the GPL-EMP switching model</v>
      </c>
    </row>
    <row r="53" spans="3:8" x14ac:dyDescent="0.2">
      <c r="C53" s="706"/>
      <c r="D53" s="90" t="s">
        <v>316</v>
      </c>
      <c r="E53" s="218" t="str">
        <f>'GPL-DCC Process Workings'!C3</f>
        <v>This sheet provides an overview of the total cost of delivery of the process changes for implementing the GPL-DCC switching model</v>
      </c>
    </row>
    <row r="54" spans="3:8" x14ac:dyDescent="0.2">
      <c r="C54" s="706"/>
      <c r="D54" s="90" t="s">
        <v>317</v>
      </c>
      <c r="E54" s="90" t="str">
        <f>'GPL-DCC System Workings'!C3</f>
        <v>This sheet provides an overview of the total cost of delivery of the system changes for implementing the GPL-DCC switching model</v>
      </c>
    </row>
    <row r="55" spans="3:8" x14ac:dyDescent="0.2">
      <c r="C55" s="706"/>
      <c r="D55" s="90" t="s">
        <v>313</v>
      </c>
      <c r="E55" s="218" t="str">
        <f>'eC&amp;R-EMP Process Workings'!C3</f>
        <v>This sheet provides an overview of the total cost of delivery of the process changes for implementing the eC&amp;R-EMP switching model</v>
      </c>
    </row>
    <row r="56" spans="3:8" x14ac:dyDescent="0.2">
      <c r="C56" s="706"/>
      <c r="D56" s="90" t="s">
        <v>314</v>
      </c>
      <c r="E56" s="90" t="str">
        <f>'eC&amp;R-EMP System Workings'!C3</f>
        <v>This sheet provides an overview of the total cost of delivery of the system changes for implementing the eC&amp;R-EMP switching model</v>
      </c>
    </row>
    <row r="57" spans="3:8" x14ac:dyDescent="0.2">
      <c r="C57" s="706"/>
      <c r="D57" s="90" t="s">
        <v>311</v>
      </c>
      <c r="E57" s="218" t="str">
        <f>'eC&amp;R-DCC Process Workings'!C3</f>
        <v>This sheet provides an overview of the total cost of delivery of the process changes for implementing the eC&amp;R-DCC switching model</v>
      </c>
    </row>
    <row r="58" spans="3:8" x14ac:dyDescent="0.2">
      <c r="C58" s="706"/>
      <c r="D58" s="90" t="s">
        <v>312</v>
      </c>
      <c r="E58" s="90" t="str">
        <f>'eC&amp;R-DCC System Workings'!C3</f>
        <v>This sheet provides an overview of the total cost of delivery of the system changes for implementing the eC&amp;R-DCC switching model</v>
      </c>
    </row>
    <row r="60" spans="3:8" x14ac:dyDescent="0.2">
      <c r="C60" s="706" t="s">
        <v>102</v>
      </c>
      <c r="D60" s="90" t="str">
        <f ca="1">NPC_Results!C2</f>
        <v>NPC_Results</v>
      </c>
      <c r="E60" s="90" t="str">
        <f>NPC_Results!C3</f>
        <v>Output of NPC analysis of future switching scenarios over 10 year period, for Tier B and C</v>
      </c>
    </row>
    <row r="61" spans="3:8" x14ac:dyDescent="0.2">
      <c r="C61" s="706"/>
      <c r="D61" s="90" t="str">
        <f ca="1">NPC_TierA!C2</f>
        <v>NPC_TierA</v>
      </c>
      <c r="E61" s="90" t="str">
        <f>NPC_TierA!C3</f>
        <v>Output of NPC analysis of future switching scenarios over 10 year period for Tier A and TPIs</v>
      </c>
    </row>
  </sheetData>
  <mergeCells count="4">
    <mergeCell ref="C43:C48"/>
    <mergeCell ref="C50:C58"/>
    <mergeCell ref="C38:C41"/>
    <mergeCell ref="C60:C61"/>
  </mergeCells>
  <pageMargins left="0.7" right="0.7" top="0.75" bottom="0.75"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P127"/>
  <sheetViews>
    <sheetView showGridLines="0" zoomScale="80" zoomScaleNormal="80" workbookViewId="0">
      <pane ySplit="5" topLeftCell="A6" activePane="bottomLeft" state="frozen"/>
      <selection activeCell="R56" sqref="R56"/>
      <selection pane="bottomLeft"/>
    </sheetView>
  </sheetViews>
  <sheetFormatPr defaultRowHeight="15" x14ac:dyDescent="0.25"/>
  <cols>
    <col min="1" max="1" width="3.28515625" customWidth="1"/>
    <col min="2" max="2" width="14.28515625" bestFit="1" customWidth="1"/>
    <col min="3" max="3" width="38.28515625" customWidth="1"/>
    <col min="4" max="4" width="8.28515625" bestFit="1" customWidth="1"/>
    <col min="5" max="5" width="14.85546875" bestFit="1" customWidth="1"/>
    <col min="6" max="6" width="68.5703125" bestFit="1" customWidth="1"/>
  </cols>
  <sheetData>
    <row r="1" spans="1:16" x14ac:dyDescent="0.25">
      <c r="A1" s="117"/>
      <c r="B1" s="117"/>
      <c r="C1" s="44"/>
      <c r="D1" s="44"/>
      <c r="E1" s="44"/>
      <c r="F1" s="118"/>
      <c r="G1" s="263"/>
      <c r="H1" s="263"/>
      <c r="I1" s="263"/>
      <c r="J1" s="263"/>
      <c r="K1" s="263"/>
      <c r="L1" s="263"/>
      <c r="M1" s="263"/>
      <c r="N1" s="263"/>
      <c r="O1" s="263"/>
      <c r="P1" s="263"/>
    </row>
    <row r="2" spans="1:16" x14ac:dyDescent="0.25">
      <c r="A2" s="117"/>
      <c r="B2" s="117" t="s">
        <v>0</v>
      </c>
      <c r="C2" s="119" t="str">
        <f ca="1">MID(CELL("filename",A1),FIND("]",CELL("filename",A1))+1,256)</f>
        <v>eC&amp;R-EMP System Workings</v>
      </c>
      <c r="D2" s="44"/>
      <c r="E2" s="44"/>
      <c r="F2" s="118"/>
      <c r="G2" s="263"/>
      <c r="H2" s="263"/>
      <c r="I2" s="263"/>
      <c r="J2" s="263"/>
      <c r="K2" s="263"/>
      <c r="L2" s="263"/>
      <c r="M2" s="263"/>
      <c r="N2" s="263"/>
      <c r="O2" s="263"/>
      <c r="P2" s="263"/>
    </row>
    <row r="3" spans="1:16" x14ac:dyDescent="0.25">
      <c r="A3" s="117"/>
      <c r="B3" s="117" t="s">
        <v>1</v>
      </c>
      <c r="C3" s="118" t="s">
        <v>323</v>
      </c>
      <c r="D3" s="44"/>
      <c r="E3" s="44"/>
      <c r="F3" s="118"/>
      <c r="G3" s="263"/>
      <c r="H3" s="263"/>
      <c r="I3" s="263"/>
      <c r="J3" s="263"/>
      <c r="K3" s="263"/>
      <c r="L3" s="263"/>
      <c r="M3" s="263"/>
      <c r="N3" s="263"/>
      <c r="O3" s="263"/>
      <c r="P3" s="263"/>
    </row>
    <row r="4" spans="1:16" x14ac:dyDescent="0.25">
      <c r="A4" s="117"/>
      <c r="B4" s="117"/>
      <c r="C4" s="44"/>
      <c r="D4" s="44"/>
      <c r="E4" s="44"/>
      <c r="F4" s="118"/>
      <c r="G4" s="710" t="s">
        <v>83</v>
      </c>
      <c r="H4" s="710"/>
      <c r="I4" s="710"/>
      <c r="J4" s="710"/>
      <c r="K4" s="263"/>
      <c r="L4" s="263"/>
      <c r="M4" s="263"/>
      <c r="N4" s="263"/>
      <c r="O4" s="264"/>
      <c r="P4" s="263"/>
    </row>
    <row r="5" spans="1:16" x14ac:dyDescent="0.25">
      <c r="A5" s="120"/>
      <c r="B5" s="120" t="s">
        <v>27</v>
      </c>
      <c r="C5" s="121" t="s">
        <v>28</v>
      </c>
      <c r="D5" s="121" t="s">
        <v>29</v>
      </c>
      <c r="E5" s="121" t="s">
        <v>130</v>
      </c>
      <c r="F5" s="122" t="s">
        <v>173</v>
      </c>
      <c r="G5" s="19" t="s">
        <v>59</v>
      </c>
      <c r="H5" s="19" t="s">
        <v>62</v>
      </c>
      <c r="I5" s="19" t="s">
        <v>56</v>
      </c>
      <c r="J5" s="19" t="s">
        <v>72</v>
      </c>
      <c r="K5" s="19" t="s">
        <v>46</v>
      </c>
      <c r="L5" s="19" t="s">
        <v>79</v>
      </c>
      <c r="M5" s="19" t="s">
        <v>82</v>
      </c>
      <c r="N5" s="19" t="s">
        <v>81</v>
      </c>
      <c r="O5" s="19" t="s">
        <v>90</v>
      </c>
      <c r="P5" s="263"/>
    </row>
    <row r="6" spans="1:16" x14ac:dyDescent="0.25">
      <c r="A6" s="117"/>
      <c r="B6" s="117"/>
      <c r="C6" s="44"/>
      <c r="D6" s="44"/>
      <c r="E6" s="44"/>
      <c r="F6" s="118"/>
      <c r="G6" s="263"/>
      <c r="H6" s="263"/>
      <c r="I6" s="263"/>
      <c r="J6" s="263"/>
      <c r="K6" s="263"/>
      <c r="L6" s="263"/>
      <c r="M6" s="263"/>
      <c r="N6" s="263"/>
      <c r="O6" s="263"/>
      <c r="P6" s="263"/>
    </row>
    <row r="7" spans="1:16" x14ac:dyDescent="0.25">
      <c r="A7" s="117"/>
      <c r="B7" s="123" t="s">
        <v>174</v>
      </c>
      <c r="C7" s="44" t="s">
        <v>43</v>
      </c>
      <c r="D7" s="44"/>
      <c r="E7" s="44"/>
      <c r="F7" s="118"/>
      <c r="G7" s="677">
        <f t="shared" ref="G7:O7" si="0">SUMIF($E$11:$E$125,"CAPEX",G11:G125)</f>
        <v>349305</v>
      </c>
      <c r="H7" s="677">
        <f t="shared" si="0"/>
        <v>504905</v>
      </c>
      <c r="I7" s="677">
        <f t="shared" si="0"/>
        <v>349305</v>
      </c>
      <c r="J7" s="677">
        <f t="shared" si="0"/>
        <v>349305</v>
      </c>
      <c r="K7" s="677">
        <f t="shared" si="0"/>
        <v>217800.00000000006</v>
      </c>
      <c r="L7" s="677">
        <f t="shared" si="0"/>
        <v>190575.00000000003</v>
      </c>
      <c r="M7" s="677">
        <f t="shared" si="0"/>
        <v>161452.5</v>
      </c>
      <c r="N7" s="677">
        <f t="shared" si="0"/>
        <v>0</v>
      </c>
      <c r="O7" s="677">
        <f t="shared" si="0"/>
        <v>161452.5</v>
      </c>
      <c r="P7" s="263"/>
    </row>
    <row r="8" spans="1:16" x14ac:dyDescent="0.25">
      <c r="A8" s="117"/>
      <c r="B8" s="117"/>
      <c r="C8" s="44" t="s">
        <v>42</v>
      </c>
      <c r="D8" s="44"/>
      <c r="E8" s="44"/>
      <c r="F8" s="118"/>
      <c r="G8" s="677">
        <f t="shared" ref="G8:O8" si="1">SUMIF($E$11:$E$125,"OPEX",G11:G125)/(1+CAPEX_Factor)</f>
        <v>57585</v>
      </c>
      <c r="H8" s="677">
        <f t="shared" si="1"/>
        <v>74745</v>
      </c>
      <c r="I8" s="677">
        <f t="shared" si="1"/>
        <v>57585</v>
      </c>
      <c r="J8" s="677">
        <f t="shared" si="1"/>
        <v>57585</v>
      </c>
      <c r="K8" s="677">
        <f t="shared" si="1"/>
        <v>43560.000000000015</v>
      </c>
      <c r="L8" s="677">
        <f t="shared" si="1"/>
        <v>28215.000000000007</v>
      </c>
      <c r="M8" s="677">
        <f t="shared" si="1"/>
        <v>26152.5</v>
      </c>
      <c r="N8" s="677">
        <f t="shared" si="1"/>
        <v>0</v>
      </c>
      <c r="O8" s="677">
        <f t="shared" si="1"/>
        <v>26152.5</v>
      </c>
      <c r="P8" s="263"/>
    </row>
    <row r="9" spans="1:16" x14ac:dyDescent="0.25">
      <c r="A9" s="117"/>
      <c r="B9" s="124"/>
      <c r="C9" s="125" t="s">
        <v>140</v>
      </c>
      <c r="D9" s="125"/>
      <c r="E9" s="125"/>
      <c r="F9" s="126"/>
      <c r="G9" s="126"/>
      <c r="H9" s="126"/>
      <c r="I9" s="126"/>
      <c r="J9" s="126"/>
      <c r="K9" s="126"/>
      <c r="L9" s="126"/>
      <c r="M9" s="126"/>
      <c r="N9" s="126"/>
      <c r="O9" s="126"/>
      <c r="P9" s="263"/>
    </row>
    <row r="10" spans="1:16" x14ac:dyDescent="0.25">
      <c r="A10" s="127"/>
      <c r="B10" s="124"/>
      <c r="C10" s="124"/>
      <c r="D10" s="124"/>
      <c r="E10" s="124"/>
      <c r="F10" s="128"/>
      <c r="G10" s="263"/>
      <c r="H10" s="263"/>
      <c r="I10" s="263"/>
      <c r="J10" s="263"/>
      <c r="K10" s="263"/>
      <c r="L10" s="263"/>
      <c r="M10" s="263"/>
      <c r="N10" s="263"/>
      <c r="O10" s="263"/>
      <c r="P10" s="263"/>
    </row>
    <row r="11" spans="1:16" x14ac:dyDescent="0.25">
      <c r="A11" s="129"/>
      <c r="B11" s="124"/>
      <c r="C11" s="44" t="s">
        <v>140</v>
      </c>
      <c r="D11" s="44" t="s">
        <v>61</v>
      </c>
      <c r="E11" s="44" t="s">
        <v>50</v>
      </c>
      <c r="F11" s="118" t="s">
        <v>152</v>
      </c>
      <c r="G11" s="673">
        <f>Inputs_Delivery_Effort!AV35</f>
        <v>6.6000000000000005</v>
      </c>
      <c r="H11" s="673">
        <f>Inputs_Delivery_Effort!AW35</f>
        <v>17.160000000000004</v>
      </c>
      <c r="I11" s="673">
        <f>Inputs_Delivery_Effort!AX35</f>
        <v>6.6000000000000005</v>
      </c>
      <c r="J11" s="673">
        <f>Inputs_Delivery_Effort!AY35</f>
        <v>6.6000000000000005</v>
      </c>
      <c r="K11" s="673">
        <f>Inputs_Delivery_Effort!AZ35</f>
        <v>0</v>
      </c>
      <c r="L11" s="673">
        <f>Inputs_Delivery_Effort!BA35</f>
        <v>0</v>
      </c>
      <c r="M11" s="673">
        <f>Inputs_Delivery_Effort!BB35</f>
        <v>3.3000000000000003</v>
      </c>
      <c r="N11" s="673">
        <f>Inputs_Delivery_Effort!BC35</f>
        <v>0</v>
      </c>
      <c r="O11" s="673">
        <f>Inputs_Delivery_Effort!BD35</f>
        <v>3.3000000000000003</v>
      </c>
      <c r="P11" s="263"/>
    </row>
    <row r="12" spans="1:16" x14ac:dyDescent="0.25">
      <c r="A12" s="117"/>
      <c r="B12" s="124"/>
      <c r="C12" s="44" t="s">
        <v>140</v>
      </c>
      <c r="D12" s="44" t="s">
        <v>30</v>
      </c>
      <c r="E12" s="44" t="s">
        <v>50</v>
      </c>
      <c r="F12" s="118" t="s">
        <v>119</v>
      </c>
      <c r="G12" s="677">
        <f>Inputs_Delivery_Effort!AV36</f>
        <v>0</v>
      </c>
      <c r="H12" s="677">
        <f>Inputs_Delivery_Effort!AW36</f>
        <v>10000</v>
      </c>
      <c r="I12" s="677">
        <f>Inputs_Delivery_Effort!AX36</f>
        <v>0</v>
      </c>
      <c r="J12" s="677">
        <f>Inputs_Delivery_Effort!AY36</f>
        <v>0</v>
      </c>
      <c r="K12" s="677">
        <f>Inputs_Delivery_Effort!AZ36</f>
        <v>0</v>
      </c>
      <c r="L12" s="677">
        <f>Inputs_Delivery_Effort!BA36</f>
        <v>0</v>
      </c>
      <c r="M12" s="677">
        <f>Inputs_Delivery_Effort!BB36</f>
        <v>0</v>
      </c>
      <c r="N12" s="677">
        <f>Inputs_Delivery_Effort!BC36</f>
        <v>0</v>
      </c>
      <c r="O12" s="677">
        <f>Inputs_Delivery_Effort!BD36</f>
        <v>0</v>
      </c>
      <c r="P12" s="263"/>
    </row>
    <row r="13" spans="1:16" x14ac:dyDescent="0.25">
      <c r="A13" s="117"/>
      <c r="B13" s="124"/>
      <c r="C13" s="44" t="s">
        <v>140</v>
      </c>
      <c r="D13" s="44" t="s">
        <v>30</v>
      </c>
      <c r="E13" s="44" t="s">
        <v>43</v>
      </c>
      <c r="F13" s="118"/>
      <c r="G13" s="675">
        <f t="shared" ref="G13:O13" si="2">(G11*IT_Consultant_Daily_Rate)+G12</f>
        <v>3300.0000000000005</v>
      </c>
      <c r="H13" s="675">
        <f t="shared" si="2"/>
        <v>18580</v>
      </c>
      <c r="I13" s="675">
        <f t="shared" si="2"/>
        <v>3300.0000000000005</v>
      </c>
      <c r="J13" s="675">
        <f t="shared" si="2"/>
        <v>3300.0000000000005</v>
      </c>
      <c r="K13" s="675">
        <f t="shared" si="2"/>
        <v>0</v>
      </c>
      <c r="L13" s="675">
        <f t="shared" si="2"/>
        <v>0</v>
      </c>
      <c r="M13" s="675">
        <f t="shared" si="2"/>
        <v>1650.0000000000002</v>
      </c>
      <c r="N13" s="675">
        <f t="shared" si="2"/>
        <v>0</v>
      </c>
      <c r="O13" s="675">
        <f t="shared" si="2"/>
        <v>1650.0000000000002</v>
      </c>
      <c r="P13" s="263"/>
    </row>
    <row r="14" spans="1:16" x14ac:dyDescent="0.25">
      <c r="A14" s="117"/>
      <c r="B14" s="124"/>
      <c r="C14" s="44"/>
      <c r="D14" s="44"/>
      <c r="E14" s="44"/>
      <c r="F14" s="118"/>
      <c r="G14" s="263"/>
      <c r="H14" s="263"/>
      <c r="I14" s="263"/>
      <c r="J14" s="263"/>
      <c r="K14" s="263"/>
      <c r="L14" s="263"/>
      <c r="M14" s="263"/>
      <c r="N14" s="263"/>
      <c r="O14" s="263"/>
      <c r="P14" s="263"/>
    </row>
    <row r="15" spans="1:16" x14ac:dyDescent="0.25">
      <c r="A15" s="117"/>
      <c r="B15" s="124"/>
      <c r="C15" s="44" t="s">
        <v>140</v>
      </c>
      <c r="D15" s="44" t="s">
        <v>49</v>
      </c>
      <c r="E15" s="44" t="s">
        <v>47</v>
      </c>
      <c r="F15" s="118" t="s">
        <v>120</v>
      </c>
      <c r="G15" s="37">
        <f>Inputs_Delivery_Effort!AV37</f>
        <v>0.2</v>
      </c>
      <c r="H15" s="37">
        <f>Inputs_Delivery_Effort!AW37</f>
        <v>0.2</v>
      </c>
      <c r="I15" s="37">
        <f>Inputs_Delivery_Effort!AX37</f>
        <v>0.2</v>
      </c>
      <c r="J15" s="37">
        <f>Inputs_Delivery_Effort!AY37</f>
        <v>0.2</v>
      </c>
      <c r="K15" s="37">
        <f>Inputs_Delivery_Effort!AZ37</f>
        <v>0.2</v>
      </c>
      <c r="L15" s="37">
        <f>Inputs_Delivery_Effort!BA37</f>
        <v>0.2</v>
      </c>
      <c r="M15" s="37">
        <f>Inputs_Delivery_Effort!BB37</f>
        <v>0.2</v>
      </c>
      <c r="N15" s="37">
        <f>Inputs_Delivery_Effort!BC37</f>
        <v>0.2</v>
      </c>
      <c r="O15" s="37">
        <f>Inputs_Delivery_Effort!BD37</f>
        <v>0.2</v>
      </c>
      <c r="P15" s="263"/>
    </row>
    <row r="16" spans="1:16" x14ac:dyDescent="0.25">
      <c r="A16" s="117"/>
      <c r="B16" s="124"/>
      <c r="C16" s="44" t="s">
        <v>140</v>
      </c>
      <c r="D16" s="44" t="s">
        <v>30</v>
      </c>
      <c r="E16" s="44" t="s">
        <v>42</v>
      </c>
      <c r="F16" s="118"/>
      <c r="G16" s="675">
        <f t="shared" ref="G16:O16" si="3">(G11*IT_Consultant_Daily_Rate)*G15</f>
        <v>660.00000000000011</v>
      </c>
      <c r="H16" s="675">
        <f t="shared" si="3"/>
        <v>1716.0000000000005</v>
      </c>
      <c r="I16" s="675">
        <f t="shared" si="3"/>
        <v>660.00000000000011</v>
      </c>
      <c r="J16" s="675">
        <f t="shared" si="3"/>
        <v>660.00000000000011</v>
      </c>
      <c r="K16" s="675">
        <f t="shared" si="3"/>
        <v>0</v>
      </c>
      <c r="L16" s="675">
        <f t="shared" si="3"/>
        <v>0</v>
      </c>
      <c r="M16" s="675">
        <f t="shared" si="3"/>
        <v>330.00000000000006</v>
      </c>
      <c r="N16" s="675">
        <f t="shared" si="3"/>
        <v>0</v>
      </c>
      <c r="O16" s="675">
        <f t="shared" si="3"/>
        <v>330.00000000000006</v>
      </c>
      <c r="P16" s="263"/>
    </row>
    <row r="17" spans="1:16" x14ac:dyDescent="0.25">
      <c r="A17" s="263"/>
      <c r="B17" s="263"/>
      <c r="C17" s="263"/>
      <c r="D17" s="263"/>
      <c r="E17" s="263"/>
      <c r="F17" s="263"/>
      <c r="G17" s="263"/>
      <c r="H17" s="263"/>
      <c r="I17" s="263"/>
      <c r="J17" s="263"/>
      <c r="K17" s="263"/>
      <c r="L17" s="263"/>
      <c r="M17" s="263"/>
      <c r="N17" s="263"/>
      <c r="O17" s="263"/>
      <c r="P17" s="263"/>
    </row>
    <row r="18" spans="1:16" x14ac:dyDescent="0.25">
      <c r="A18" s="117"/>
      <c r="B18" s="124"/>
      <c r="C18" s="125" t="s">
        <v>145</v>
      </c>
      <c r="D18" s="125"/>
      <c r="E18" s="125"/>
      <c r="F18" s="126"/>
      <c r="G18" s="126"/>
      <c r="H18" s="126"/>
      <c r="I18" s="126"/>
      <c r="J18" s="126"/>
      <c r="K18" s="126"/>
      <c r="L18" s="126"/>
      <c r="M18" s="126"/>
      <c r="N18" s="126"/>
      <c r="O18" s="126"/>
      <c r="P18" s="263"/>
    </row>
    <row r="19" spans="1:16" x14ac:dyDescent="0.25">
      <c r="A19" s="117"/>
      <c r="B19" s="124"/>
      <c r="C19" s="124"/>
      <c r="D19" s="124"/>
      <c r="E19" s="124"/>
      <c r="F19" s="128"/>
      <c r="G19" s="128"/>
      <c r="H19" s="128"/>
      <c r="I19" s="128"/>
      <c r="J19" s="128"/>
      <c r="K19" s="128"/>
      <c r="L19" s="128"/>
      <c r="M19" s="128"/>
      <c r="N19" s="128"/>
      <c r="O19" s="128"/>
      <c r="P19" s="263"/>
    </row>
    <row r="20" spans="1:16" x14ac:dyDescent="0.25">
      <c r="A20" s="263"/>
      <c r="B20" s="263"/>
      <c r="C20" s="263" t="s">
        <v>145</v>
      </c>
      <c r="D20" s="263" t="s">
        <v>61</v>
      </c>
      <c r="E20" s="263" t="s">
        <v>50</v>
      </c>
      <c r="F20" s="263" t="s">
        <v>152</v>
      </c>
      <c r="G20" s="673">
        <f>Inputs_Delivery_Effort!AV38</f>
        <v>0</v>
      </c>
      <c r="H20" s="673">
        <f>Inputs_Delivery_Effort!AW38</f>
        <v>10.560000000000002</v>
      </c>
      <c r="I20" s="673">
        <f>Inputs_Delivery_Effort!AX38</f>
        <v>0</v>
      </c>
      <c r="J20" s="673">
        <f>Inputs_Delivery_Effort!AY38</f>
        <v>0</v>
      </c>
      <c r="K20" s="673">
        <f>Inputs_Delivery_Effort!AZ38</f>
        <v>0</v>
      </c>
      <c r="L20" s="673">
        <f>Inputs_Delivery_Effort!BA38</f>
        <v>0</v>
      </c>
      <c r="M20" s="673">
        <f>Inputs_Delivery_Effort!BB38</f>
        <v>0</v>
      </c>
      <c r="N20" s="673">
        <f>Inputs_Delivery_Effort!BC38</f>
        <v>0</v>
      </c>
      <c r="O20" s="673">
        <f>Inputs_Delivery_Effort!BD38</f>
        <v>0</v>
      </c>
      <c r="P20" s="263"/>
    </row>
    <row r="21" spans="1:16" x14ac:dyDescent="0.25">
      <c r="A21" s="263"/>
      <c r="B21" s="263"/>
      <c r="C21" s="263" t="s">
        <v>145</v>
      </c>
      <c r="D21" s="263" t="s">
        <v>30</v>
      </c>
      <c r="E21" s="263" t="s">
        <v>50</v>
      </c>
      <c r="F21" s="263" t="s">
        <v>119</v>
      </c>
      <c r="G21" s="677">
        <f>Inputs_Delivery_Effort!AV39</f>
        <v>0</v>
      </c>
      <c r="H21" s="677">
        <f>Inputs_Delivery_Effort!AW39</f>
        <v>10000</v>
      </c>
      <c r="I21" s="677">
        <f>Inputs_Delivery_Effort!AX39</f>
        <v>0</v>
      </c>
      <c r="J21" s="677">
        <f>Inputs_Delivery_Effort!AY39</f>
        <v>0</v>
      </c>
      <c r="K21" s="677">
        <f>Inputs_Delivery_Effort!AZ39</f>
        <v>0</v>
      </c>
      <c r="L21" s="677">
        <f>Inputs_Delivery_Effort!BA39</f>
        <v>0</v>
      </c>
      <c r="M21" s="677">
        <f>Inputs_Delivery_Effort!BB39</f>
        <v>0</v>
      </c>
      <c r="N21" s="677">
        <f>Inputs_Delivery_Effort!BC39</f>
        <v>0</v>
      </c>
      <c r="O21" s="677">
        <f>Inputs_Delivery_Effort!BD39</f>
        <v>0</v>
      </c>
      <c r="P21" s="263"/>
    </row>
    <row r="22" spans="1:16" x14ac:dyDescent="0.25">
      <c r="A22" s="263"/>
      <c r="B22" s="263"/>
      <c r="C22" s="263" t="s">
        <v>145</v>
      </c>
      <c r="D22" s="263" t="s">
        <v>30</v>
      </c>
      <c r="E22" s="263" t="s">
        <v>43</v>
      </c>
      <c r="F22" s="263"/>
      <c r="G22" s="675">
        <f t="shared" ref="G22:O22" si="4">(G20*IT_Consultant_Daily_Rate)+G21</f>
        <v>0</v>
      </c>
      <c r="H22" s="675">
        <f t="shared" si="4"/>
        <v>15280</v>
      </c>
      <c r="I22" s="675">
        <f t="shared" si="4"/>
        <v>0</v>
      </c>
      <c r="J22" s="675">
        <f t="shared" si="4"/>
        <v>0</v>
      </c>
      <c r="K22" s="675">
        <f t="shared" si="4"/>
        <v>0</v>
      </c>
      <c r="L22" s="675">
        <f t="shared" si="4"/>
        <v>0</v>
      </c>
      <c r="M22" s="675">
        <f t="shared" si="4"/>
        <v>0</v>
      </c>
      <c r="N22" s="675">
        <f t="shared" si="4"/>
        <v>0</v>
      </c>
      <c r="O22" s="675">
        <f t="shared" si="4"/>
        <v>0</v>
      </c>
      <c r="P22" s="263"/>
    </row>
    <row r="23" spans="1:16" x14ac:dyDescent="0.25">
      <c r="A23" s="263"/>
      <c r="B23" s="263"/>
      <c r="C23" s="263"/>
      <c r="D23" s="263"/>
      <c r="E23" s="263"/>
      <c r="F23" s="263"/>
      <c r="G23" s="263"/>
      <c r="H23" s="263"/>
      <c r="I23" s="263"/>
      <c r="J23" s="263"/>
      <c r="K23" s="263"/>
      <c r="L23" s="263"/>
      <c r="M23" s="263"/>
      <c r="N23" s="263"/>
      <c r="O23" s="263"/>
      <c r="P23" s="263"/>
    </row>
    <row r="24" spans="1:16" x14ac:dyDescent="0.25">
      <c r="A24" s="263"/>
      <c r="B24" s="263"/>
      <c r="C24" s="263" t="s">
        <v>145</v>
      </c>
      <c r="D24" s="263" t="s">
        <v>49</v>
      </c>
      <c r="E24" s="263" t="s">
        <v>47</v>
      </c>
      <c r="F24" s="263" t="s">
        <v>120</v>
      </c>
      <c r="G24" s="37">
        <f>Inputs_Delivery_Effort!AV40</f>
        <v>0.2</v>
      </c>
      <c r="H24" s="37">
        <f>Inputs_Delivery_Effort!AW40</f>
        <v>0.2</v>
      </c>
      <c r="I24" s="37">
        <f>Inputs_Delivery_Effort!AX40</f>
        <v>0.2</v>
      </c>
      <c r="J24" s="37">
        <f>Inputs_Delivery_Effort!AY40</f>
        <v>0.2</v>
      </c>
      <c r="K24" s="37">
        <f>Inputs_Delivery_Effort!AZ40</f>
        <v>0.2</v>
      </c>
      <c r="L24" s="37">
        <f>Inputs_Delivery_Effort!BA40</f>
        <v>0.2</v>
      </c>
      <c r="M24" s="37">
        <f>Inputs_Delivery_Effort!BB40</f>
        <v>0.2</v>
      </c>
      <c r="N24" s="37">
        <f>Inputs_Delivery_Effort!BC40</f>
        <v>0.2</v>
      </c>
      <c r="O24" s="37">
        <f>Inputs_Delivery_Effort!BD40</f>
        <v>0.2</v>
      </c>
      <c r="P24" s="263"/>
    </row>
    <row r="25" spans="1:16" x14ac:dyDescent="0.25">
      <c r="A25" s="263"/>
      <c r="B25" s="263"/>
      <c r="C25" s="263" t="s">
        <v>145</v>
      </c>
      <c r="D25" s="263" t="s">
        <v>30</v>
      </c>
      <c r="E25" s="263" t="s">
        <v>42</v>
      </c>
      <c r="F25" s="263"/>
      <c r="G25" s="675">
        <f t="shared" ref="G25:O25" si="5">(G20*IT_Consultant_Daily_Rate)*G24</f>
        <v>0</v>
      </c>
      <c r="H25" s="675">
        <f t="shared" si="5"/>
        <v>1056.0000000000002</v>
      </c>
      <c r="I25" s="675">
        <f t="shared" si="5"/>
        <v>0</v>
      </c>
      <c r="J25" s="675">
        <f t="shared" si="5"/>
        <v>0</v>
      </c>
      <c r="K25" s="675">
        <f t="shared" si="5"/>
        <v>0</v>
      </c>
      <c r="L25" s="675">
        <f t="shared" si="5"/>
        <v>0</v>
      </c>
      <c r="M25" s="675">
        <f t="shared" si="5"/>
        <v>0</v>
      </c>
      <c r="N25" s="675">
        <f t="shared" si="5"/>
        <v>0</v>
      </c>
      <c r="O25" s="675">
        <f t="shared" si="5"/>
        <v>0</v>
      </c>
      <c r="P25" s="263"/>
    </row>
    <row r="26" spans="1:16" x14ac:dyDescent="0.25">
      <c r="A26" s="263"/>
      <c r="B26" s="263"/>
      <c r="C26" s="263"/>
      <c r="D26" s="263"/>
      <c r="E26" s="263"/>
      <c r="F26" s="263"/>
      <c r="G26" s="263"/>
      <c r="H26" s="263"/>
      <c r="I26" s="263"/>
      <c r="J26" s="263"/>
      <c r="K26" s="263"/>
      <c r="L26" s="263"/>
      <c r="M26" s="263"/>
      <c r="N26" s="263"/>
      <c r="O26" s="263"/>
      <c r="P26" s="263"/>
    </row>
    <row r="27" spans="1:16" x14ac:dyDescent="0.25">
      <c r="A27" s="117"/>
      <c r="B27" s="124"/>
      <c r="C27" s="125" t="s">
        <v>121</v>
      </c>
      <c r="D27" s="125"/>
      <c r="E27" s="125"/>
      <c r="F27" s="126"/>
      <c r="G27" s="126"/>
      <c r="H27" s="126"/>
      <c r="I27" s="126"/>
      <c r="J27" s="126"/>
      <c r="K27" s="126"/>
      <c r="L27" s="126"/>
      <c r="M27" s="126"/>
      <c r="N27" s="126"/>
      <c r="O27" s="126"/>
      <c r="P27" s="263"/>
    </row>
    <row r="28" spans="1:16" x14ac:dyDescent="0.25">
      <c r="A28" s="117"/>
      <c r="B28" s="124"/>
      <c r="C28" s="124"/>
      <c r="D28" s="124"/>
      <c r="E28" s="124"/>
      <c r="F28" s="128"/>
      <c r="G28" s="128"/>
      <c r="H28" s="128"/>
      <c r="I28" s="128"/>
      <c r="J28" s="128"/>
      <c r="K28" s="128"/>
      <c r="L28" s="128"/>
      <c r="M28" s="128"/>
      <c r="N28" s="128"/>
      <c r="O28" s="128"/>
      <c r="P28" s="263"/>
    </row>
    <row r="29" spans="1:16" x14ac:dyDescent="0.25">
      <c r="A29" s="263"/>
      <c r="B29" s="263"/>
      <c r="C29" s="263" t="s">
        <v>121</v>
      </c>
      <c r="D29" s="263" t="s">
        <v>61</v>
      </c>
      <c r="E29" s="263" t="s">
        <v>50</v>
      </c>
      <c r="F29" s="263" t="s">
        <v>152</v>
      </c>
      <c r="G29" s="673">
        <f>Inputs_Delivery_Effort!AV41</f>
        <v>93.72</v>
      </c>
      <c r="H29" s="673">
        <f>Inputs_Delivery_Effort!AW41</f>
        <v>104.28</v>
      </c>
      <c r="I29" s="673">
        <f>Inputs_Delivery_Effort!AX41</f>
        <v>93.72</v>
      </c>
      <c r="J29" s="673">
        <f>Inputs_Delivery_Effort!AY41</f>
        <v>93.72</v>
      </c>
      <c r="K29" s="673">
        <f>Inputs_Delivery_Effort!AZ41</f>
        <v>0</v>
      </c>
      <c r="L29" s="673">
        <f>Inputs_Delivery_Effort!BA41</f>
        <v>0</v>
      </c>
      <c r="M29" s="673">
        <f>Inputs_Delivery_Effort!BB41</f>
        <v>46.86</v>
      </c>
      <c r="N29" s="673">
        <f>Inputs_Delivery_Effort!BC41</f>
        <v>0</v>
      </c>
      <c r="O29" s="673">
        <f>Inputs_Delivery_Effort!BD41</f>
        <v>46.86</v>
      </c>
      <c r="P29" s="263"/>
    </row>
    <row r="30" spans="1:16" x14ac:dyDescent="0.25">
      <c r="A30" s="263"/>
      <c r="B30" s="263"/>
      <c r="C30" s="263" t="s">
        <v>121</v>
      </c>
      <c r="D30" s="263" t="s">
        <v>30</v>
      </c>
      <c r="E30" s="263" t="s">
        <v>50</v>
      </c>
      <c r="F30" s="263" t="s">
        <v>119</v>
      </c>
      <c r="G30" s="677">
        <f>Inputs_Delivery_Effort!AV42</f>
        <v>0</v>
      </c>
      <c r="H30" s="677">
        <f>Inputs_Delivery_Effort!AW42</f>
        <v>10000</v>
      </c>
      <c r="I30" s="677">
        <f>Inputs_Delivery_Effort!AX42</f>
        <v>0</v>
      </c>
      <c r="J30" s="677">
        <f>Inputs_Delivery_Effort!AY42</f>
        <v>0</v>
      </c>
      <c r="K30" s="677">
        <f>Inputs_Delivery_Effort!AZ42</f>
        <v>0</v>
      </c>
      <c r="L30" s="677">
        <f>Inputs_Delivery_Effort!BA42</f>
        <v>0</v>
      </c>
      <c r="M30" s="677">
        <f>Inputs_Delivery_Effort!BB42</f>
        <v>0</v>
      </c>
      <c r="N30" s="677">
        <f>Inputs_Delivery_Effort!BC42</f>
        <v>0</v>
      </c>
      <c r="O30" s="677">
        <f>Inputs_Delivery_Effort!BD42</f>
        <v>0</v>
      </c>
      <c r="P30" s="263"/>
    </row>
    <row r="31" spans="1:16" x14ac:dyDescent="0.25">
      <c r="A31" s="263"/>
      <c r="B31" s="263"/>
      <c r="C31" s="263" t="s">
        <v>121</v>
      </c>
      <c r="D31" s="263" t="s">
        <v>30</v>
      </c>
      <c r="E31" s="263" t="s">
        <v>43</v>
      </c>
      <c r="F31" s="263"/>
      <c r="G31" s="675">
        <f t="shared" ref="G31:O31" si="6">(G29*IT_Consultant_Daily_Rate)+G30</f>
        <v>46860</v>
      </c>
      <c r="H31" s="675">
        <f t="shared" si="6"/>
        <v>62140</v>
      </c>
      <c r="I31" s="675">
        <f t="shared" si="6"/>
        <v>46860</v>
      </c>
      <c r="J31" s="675">
        <f t="shared" si="6"/>
        <v>46860</v>
      </c>
      <c r="K31" s="675">
        <f t="shared" si="6"/>
        <v>0</v>
      </c>
      <c r="L31" s="675">
        <f t="shared" si="6"/>
        <v>0</v>
      </c>
      <c r="M31" s="675">
        <f t="shared" si="6"/>
        <v>23430</v>
      </c>
      <c r="N31" s="675">
        <f t="shared" si="6"/>
        <v>0</v>
      </c>
      <c r="O31" s="675">
        <f t="shared" si="6"/>
        <v>23430</v>
      </c>
      <c r="P31" s="263"/>
    </row>
    <row r="32" spans="1:16" x14ac:dyDescent="0.25">
      <c r="A32" s="263"/>
      <c r="B32" s="263"/>
      <c r="C32" s="263"/>
      <c r="D32" s="263"/>
      <c r="E32" s="263"/>
      <c r="F32" s="263"/>
      <c r="G32" s="263"/>
      <c r="H32" s="263"/>
      <c r="I32" s="263"/>
      <c r="J32" s="263"/>
      <c r="K32" s="263"/>
      <c r="L32" s="263"/>
      <c r="M32" s="263"/>
      <c r="N32" s="263"/>
      <c r="O32" s="263"/>
      <c r="P32" s="263"/>
    </row>
    <row r="33" spans="1:16" x14ac:dyDescent="0.25">
      <c r="A33" s="263"/>
      <c r="B33" s="263"/>
      <c r="C33" s="263" t="s">
        <v>121</v>
      </c>
      <c r="D33" s="263" t="s">
        <v>49</v>
      </c>
      <c r="E33" s="263" t="s">
        <v>47</v>
      </c>
      <c r="F33" s="263" t="s">
        <v>120</v>
      </c>
      <c r="G33" s="37">
        <f>Inputs_Delivery_Effort!AV43</f>
        <v>0.2</v>
      </c>
      <c r="H33" s="37">
        <f>Inputs_Delivery_Effort!AW43</f>
        <v>0.2</v>
      </c>
      <c r="I33" s="37">
        <f>Inputs_Delivery_Effort!AX43</f>
        <v>0.2</v>
      </c>
      <c r="J33" s="37">
        <f>Inputs_Delivery_Effort!AY43</f>
        <v>0.2</v>
      </c>
      <c r="K33" s="37">
        <f>Inputs_Delivery_Effort!AZ43</f>
        <v>0.2</v>
      </c>
      <c r="L33" s="37">
        <f>Inputs_Delivery_Effort!BA43</f>
        <v>0.2</v>
      </c>
      <c r="M33" s="37">
        <f>Inputs_Delivery_Effort!BB43</f>
        <v>0.2</v>
      </c>
      <c r="N33" s="37">
        <f>Inputs_Delivery_Effort!BC43</f>
        <v>0.2</v>
      </c>
      <c r="O33" s="37">
        <f>Inputs_Delivery_Effort!BD43</f>
        <v>0.2</v>
      </c>
      <c r="P33" s="263"/>
    </row>
    <row r="34" spans="1:16" x14ac:dyDescent="0.25">
      <c r="A34" s="263"/>
      <c r="B34" s="263"/>
      <c r="C34" s="263" t="s">
        <v>121</v>
      </c>
      <c r="D34" s="263" t="s">
        <v>30</v>
      </c>
      <c r="E34" s="263" t="s">
        <v>42</v>
      </c>
      <c r="F34" s="263"/>
      <c r="G34" s="675">
        <f t="shared" ref="G34:O34" si="7">(G29*IT_Consultant_Daily_Rate)*G33</f>
        <v>9372</v>
      </c>
      <c r="H34" s="675">
        <f t="shared" si="7"/>
        <v>10428</v>
      </c>
      <c r="I34" s="675">
        <f t="shared" si="7"/>
        <v>9372</v>
      </c>
      <c r="J34" s="675">
        <f t="shared" si="7"/>
        <v>9372</v>
      </c>
      <c r="K34" s="675">
        <f t="shared" si="7"/>
        <v>0</v>
      </c>
      <c r="L34" s="675">
        <f t="shared" si="7"/>
        <v>0</v>
      </c>
      <c r="M34" s="675">
        <f t="shared" si="7"/>
        <v>4686</v>
      </c>
      <c r="N34" s="675">
        <f t="shared" si="7"/>
        <v>0</v>
      </c>
      <c r="O34" s="675">
        <f t="shared" si="7"/>
        <v>4686</v>
      </c>
      <c r="P34" s="263"/>
    </row>
    <row r="35" spans="1:16" x14ac:dyDescent="0.25">
      <c r="A35" s="263"/>
      <c r="B35" s="263"/>
      <c r="C35" s="263"/>
      <c r="D35" s="263"/>
      <c r="E35" s="263"/>
      <c r="F35" s="263"/>
      <c r="G35" s="263"/>
      <c r="H35" s="263"/>
      <c r="I35" s="263"/>
      <c r="J35" s="263"/>
      <c r="K35" s="263"/>
      <c r="L35" s="263"/>
      <c r="M35" s="263"/>
      <c r="N35" s="263"/>
      <c r="O35" s="263"/>
      <c r="P35" s="263"/>
    </row>
    <row r="36" spans="1:16" x14ac:dyDescent="0.25">
      <c r="A36" s="117"/>
      <c r="B36" s="124"/>
      <c r="C36" s="125" t="s">
        <v>146</v>
      </c>
      <c r="D36" s="125"/>
      <c r="E36" s="125"/>
      <c r="F36" s="126"/>
      <c r="G36" s="126"/>
      <c r="H36" s="126"/>
      <c r="I36" s="126"/>
      <c r="J36" s="126"/>
      <c r="K36" s="126"/>
      <c r="L36" s="126"/>
      <c r="M36" s="126"/>
      <c r="N36" s="126"/>
      <c r="O36" s="126"/>
      <c r="P36" s="263"/>
    </row>
    <row r="37" spans="1:16" x14ac:dyDescent="0.25">
      <c r="A37" s="117"/>
      <c r="B37" s="124"/>
      <c r="C37" s="124"/>
      <c r="D37" s="124"/>
      <c r="E37" s="124"/>
      <c r="F37" s="128"/>
      <c r="G37" s="128"/>
      <c r="H37" s="128"/>
      <c r="I37" s="128"/>
      <c r="J37" s="128"/>
      <c r="K37" s="128"/>
      <c r="L37" s="128"/>
      <c r="M37" s="128"/>
      <c r="N37" s="128"/>
      <c r="O37" s="128"/>
      <c r="P37" s="263"/>
    </row>
    <row r="38" spans="1:16" x14ac:dyDescent="0.25">
      <c r="A38" s="263"/>
      <c r="B38" s="263"/>
      <c r="C38" s="263" t="s">
        <v>146</v>
      </c>
      <c r="D38" s="263" t="s">
        <v>61</v>
      </c>
      <c r="E38" s="263" t="s">
        <v>50</v>
      </c>
      <c r="F38" s="263" t="s">
        <v>152</v>
      </c>
      <c r="G38" s="673">
        <f>Inputs_Delivery_Effort!AV44</f>
        <v>30.360000000000003</v>
      </c>
      <c r="H38" s="673">
        <f>Inputs_Delivery_Effort!AW44</f>
        <v>40.920000000000009</v>
      </c>
      <c r="I38" s="673">
        <f>Inputs_Delivery_Effort!AX44</f>
        <v>30.360000000000003</v>
      </c>
      <c r="J38" s="673">
        <f>Inputs_Delivery_Effort!AY44</f>
        <v>30.360000000000003</v>
      </c>
      <c r="K38" s="673">
        <f>Inputs_Delivery_Effort!AZ44</f>
        <v>0</v>
      </c>
      <c r="L38" s="673">
        <f>Inputs_Delivery_Effort!BA44</f>
        <v>0</v>
      </c>
      <c r="M38" s="673">
        <f>Inputs_Delivery_Effort!BB44</f>
        <v>15.180000000000001</v>
      </c>
      <c r="N38" s="673">
        <f>Inputs_Delivery_Effort!BC44</f>
        <v>0</v>
      </c>
      <c r="O38" s="673">
        <f>Inputs_Delivery_Effort!BD44</f>
        <v>15.180000000000001</v>
      </c>
      <c r="P38" s="263"/>
    </row>
    <row r="39" spans="1:16" x14ac:dyDescent="0.25">
      <c r="A39" s="263"/>
      <c r="B39" s="263"/>
      <c r="C39" s="263" t="s">
        <v>146</v>
      </c>
      <c r="D39" s="263" t="s">
        <v>30</v>
      </c>
      <c r="E39" s="263" t="s">
        <v>50</v>
      </c>
      <c r="F39" s="263" t="s">
        <v>119</v>
      </c>
      <c r="G39" s="677">
        <f>Inputs_Delivery_Effort!AV45</f>
        <v>0</v>
      </c>
      <c r="H39" s="677">
        <f>Inputs_Delivery_Effort!AW45</f>
        <v>10000</v>
      </c>
      <c r="I39" s="677">
        <f>Inputs_Delivery_Effort!AX45</f>
        <v>0</v>
      </c>
      <c r="J39" s="677">
        <f>Inputs_Delivery_Effort!AY45</f>
        <v>0</v>
      </c>
      <c r="K39" s="677">
        <f>Inputs_Delivery_Effort!AZ45</f>
        <v>0</v>
      </c>
      <c r="L39" s="677">
        <f>Inputs_Delivery_Effort!BA45</f>
        <v>0</v>
      </c>
      <c r="M39" s="677">
        <f>Inputs_Delivery_Effort!BB45</f>
        <v>0</v>
      </c>
      <c r="N39" s="677">
        <f>Inputs_Delivery_Effort!BC45</f>
        <v>0</v>
      </c>
      <c r="O39" s="677">
        <f>Inputs_Delivery_Effort!BD45</f>
        <v>0</v>
      </c>
      <c r="P39" s="263"/>
    </row>
    <row r="40" spans="1:16" x14ac:dyDescent="0.25">
      <c r="A40" s="263"/>
      <c r="B40" s="263"/>
      <c r="C40" s="263" t="s">
        <v>146</v>
      </c>
      <c r="D40" s="263" t="s">
        <v>30</v>
      </c>
      <c r="E40" s="263" t="s">
        <v>43</v>
      </c>
      <c r="F40" s="263"/>
      <c r="G40" s="675">
        <f t="shared" ref="G40:O40" si="8">(G38*IT_Consultant_Daily_Rate)+G39</f>
        <v>15180.000000000002</v>
      </c>
      <c r="H40" s="675">
        <f t="shared" si="8"/>
        <v>30460.000000000004</v>
      </c>
      <c r="I40" s="675">
        <f t="shared" si="8"/>
        <v>15180.000000000002</v>
      </c>
      <c r="J40" s="675">
        <f t="shared" si="8"/>
        <v>15180.000000000002</v>
      </c>
      <c r="K40" s="675">
        <f t="shared" si="8"/>
        <v>0</v>
      </c>
      <c r="L40" s="675">
        <f t="shared" si="8"/>
        <v>0</v>
      </c>
      <c r="M40" s="675">
        <f t="shared" si="8"/>
        <v>7590.0000000000009</v>
      </c>
      <c r="N40" s="675">
        <f t="shared" si="8"/>
        <v>0</v>
      </c>
      <c r="O40" s="675">
        <f t="shared" si="8"/>
        <v>7590.0000000000009</v>
      </c>
      <c r="P40" s="263"/>
    </row>
    <row r="41" spans="1:16" x14ac:dyDescent="0.25">
      <c r="A41" s="263"/>
      <c r="B41" s="263"/>
      <c r="C41" s="263"/>
      <c r="D41" s="263"/>
      <c r="E41" s="263"/>
      <c r="F41" s="263"/>
      <c r="G41" s="263"/>
      <c r="H41" s="263"/>
      <c r="I41" s="263"/>
      <c r="J41" s="263"/>
      <c r="K41" s="263"/>
      <c r="L41" s="263"/>
      <c r="M41" s="263"/>
      <c r="N41" s="263"/>
      <c r="O41" s="263"/>
      <c r="P41" s="263"/>
    </row>
    <row r="42" spans="1:16" x14ac:dyDescent="0.25">
      <c r="A42" s="263"/>
      <c r="B42" s="263"/>
      <c r="C42" s="263" t="s">
        <v>146</v>
      </c>
      <c r="D42" s="263" t="s">
        <v>49</v>
      </c>
      <c r="E42" s="263" t="s">
        <v>47</v>
      </c>
      <c r="F42" s="263" t="s">
        <v>120</v>
      </c>
      <c r="G42" s="37">
        <f>Inputs_Delivery_Effort!AV46</f>
        <v>0.2</v>
      </c>
      <c r="H42" s="37">
        <f>Inputs_Delivery_Effort!AW46</f>
        <v>0.2</v>
      </c>
      <c r="I42" s="37">
        <f>Inputs_Delivery_Effort!AX46</f>
        <v>0.2</v>
      </c>
      <c r="J42" s="37">
        <f>Inputs_Delivery_Effort!AY46</f>
        <v>0.2</v>
      </c>
      <c r="K42" s="37">
        <f>Inputs_Delivery_Effort!AZ46</f>
        <v>0.2</v>
      </c>
      <c r="L42" s="37">
        <f>Inputs_Delivery_Effort!BA46</f>
        <v>0.2</v>
      </c>
      <c r="M42" s="37">
        <f>Inputs_Delivery_Effort!BB46</f>
        <v>0.2</v>
      </c>
      <c r="N42" s="37">
        <f>Inputs_Delivery_Effort!BC46</f>
        <v>0.2</v>
      </c>
      <c r="O42" s="37">
        <f>Inputs_Delivery_Effort!BD46</f>
        <v>0.2</v>
      </c>
      <c r="P42" s="263"/>
    </row>
    <row r="43" spans="1:16" x14ac:dyDescent="0.25">
      <c r="A43" s="263"/>
      <c r="B43" s="263"/>
      <c r="C43" s="263" t="s">
        <v>146</v>
      </c>
      <c r="D43" s="263" t="s">
        <v>30</v>
      </c>
      <c r="E43" s="263" t="s">
        <v>42</v>
      </c>
      <c r="F43" s="263"/>
      <c r="G43" s="675">
        <f t="shared" ref="G43:O43" si="9">(G38*IT_Consultant_Daily_Rate)*G42</f>
        <v>3036.0000000000005</v>
      </c>
      <c r="H43" s="675">
        <f t="shared" si="9"/>
        <v>4092.0000000000009</v>
      </c>
      <c r="I43" s="675">
        <f t="shared" si="9"/>
        <v>3036.0000000000005</v>
      </c>
      <c r="J43" s="675">
        <f t="shared" si="9"/>
        <v>3036.0000000000005</v>
      </c>
      <c r="K43" s="675">
        <f t="shared" si="9"/>
        <v>0</v>
      </c>
      <c r="L43" s="675">
        <f t="shared" si="9"/>
        <v>0</v>
      </c>
      <c r="M43" s="675">
        <f t="shared" si="9"/>
        <v>1518.0000000000002</v>
      </c>
      <c r="N43" s="675">
        <f t="shared" si="9"/>
        <v>0</v>
      </c>
      <c r="O43" s="675">
        <f t="shared" si="9"/>
        <v>1518.0000000000002</v>
      </c>
      <c r="P43" s="263"/>
    </row>
    <row r="44" spans="1:16" x14ac:dyDescent="0.25">
      <c r="A44" s="263"/>
      <c r="B44" s="263"/>
      <c r="C44" s="263"/>
      <c r="D44" s="263"/>
      <c r="E44" s="263"/>
      <c r="F44" s="263"/>
      <c r="G44" s="263"/>
      <c r="H44" s="263"/>
      <c r="I44" s="263"/>
      <c r="J44" s="263"/>
      <c r="K44" s="263"/>
      <c r="L44" s="263"/>
      <c r="M44" s="263"/>
      <c r="N44" s="263"/>
      <c r="O44" s="263"/>
      <c r="P44" s="263"/>
    </row>
    <row r="45" spans="1:16" x14ac:dyDescent="0.25">
      <c r="A45" s="117"/>
      <c r="B45" s="124"/>
      <c r="C45" s="125" t="s">
        <v>141</v>
      </c>
      <c r="D45" s="125"/>
      <c r="E45" s="125"/>
      <c r="F45" s="126"/>
      <c r="G45" s="126"/>
      <c r="H45" s="126"/>
      <c r="I45" s="126"/>
      <c r="J45" s="126"/>
      <c r="K45" s="126"/>
      <c r="L45" s="126"/>
      <c r="M45" s="126"/>
      <c r="N45" s="126"/>
      <c r="O45" s="126"/>
      <c r="P45" s="263"/>
    </row>
    <row r="46" spans="1:16" x14ac:dyDescent="0.25">
      <c r="A46" s="117"/>
      <c r="B46" s="124"/>
      <c r="C46" s="124"/>
      <c r="D46" s="124"/>
      <c r="E46" s="124"/>
      <c r="F46" s="128"/>
      <c r="G46" s="128"/>
      <c r="H46" s="128"/>
      <c r="I46" s="128"/>
      <c r="J46" s="128"/>
      <c r="K46" s="128"/>
      <c r="L46" s="128"/>
      <c r="M46" s="128"/>
      <c r="N46" s="128"/>
      <c r="O46" s="128"/>
      <c r="P46" s="263"/>
    </row>
    <row r="47" spans="1:16" x14ac:dyDescent="0.25">
      <c r="A47" s="263"/>
      <c r="B47" s="263"/>
      <c r="C47" s="263" t="s">
        <v>141</v>
      </c>
      <c r="D47" s="263" t="s">
        <v>61</v>
      </c>
      <c r="E47" s="263" t="s">
        <v>50</v>
      </c>
      <c r="F47" s="263" t="s">
        <v>152</v>
      </c>
      <c r="G47" s="673">
        <f>Inputs_Delivery_Effort!AV47</f>
        <v>85.8</v>
      </c>
      <c r="H47" s="673">
        <f>Inputs_Delivery_Effort!AW47</f>
        <v>96.36</v>
      </c>
      <c r="I47" s="673">
        <f>Inputs_Delivery_Effort!AX47</f>
        <v>85.8</v>
      </c>
      <c r="J47" s="673">
        <f>Inputs_Delivery_Effort!AY47</f>
        <v>85.8</v>
      </c>
      <c r="K47" s="673">
        <f>Inputs_Delivery_Effort!AZ47</f>
        <v>0</v>
      </c>
      <c r="L47" s="673">
        <f>Inputs_Delivery_Effort!BA47</f>
        <v>0</v>
      </c>
      <c r="M47" s="673">
        <f>Inputs_Delivery_Effort!BB47</f>
        <v>42.9</v>
      </c>
      <c r="N47" s="673">
        <f>Inputs_Delivery_Effort!BC47</f>
        <v>0</v>
      </c>
      <c r="O47" s="673">
        <f>Inputs_Delivery_Effort!BD47</f>
        <v>42.9</v>
      </c>
      <c r="P47" s="263"/>
    </row>
    <row r="48" spans="1:16" x14ac:dyDescent="0.25">
      <c r="A48" s="263"/>
      <c r="B48" s="263"/>
      <c r="C48" s="263" t="s">
        <v>141</v>
      </c>
      <c r="D48" s="263" t="s">
        <v>30</v>
      </c>
      <c r="E48" s="263" t="s">
        <v>50</v>
      </c>
      <c r="F48" s="263" t="s">
        <v>119</v>
      </c>
      <c r="G48" s="677">
        <f>Inputs_Delivery_Effort!AV48</f>
        <v>0</v>
      </c>
      <c r="H48" s="677">
        <f>Inputs_Delivery_Effort!AW48</f>
        <v>10000</v>
      </c>
      <c r="I48" s="677">
        <f>Inputs_Delivery_Effort!AX48</f>
        <v>0</v>
      </c>
      <c r="J48" s="677">
        <f>Inputs_Delivery_Effort!AY48</f>
        <v>0</v>
      </c>
      <c r="K48" s="677">
        <f>Inputs_Delivery_Effort!AZ48</f>
        <v>0</v>
      </c>
      <c r="L48" s="677">
        <f>Inputs_Delivery_Effort!BA48</f>
        <v>0</v>
      </c>
      <c r="M48" s="677">
        <f>Inputs_Delivery_Effort!BB48</f>
        <v>0</v>
      </c>
      <c r="N48" s="677">
        <f>Inputs_Delivery_Effort!BC48</f>
        <v>0</v>
      </c>
      <c r="O48" s="677">
        <f>Inputs_Delivery_Effort!BD48</f>
        <v>0</v>
      </c>
      <c r="P48" s="263"/>
    </row>
    <row r="49" spans="1:16" x14ac:dyDescent="0.25">
      <c r="A49" s="263"/>
      <c r="B49" s="263"/>
      <c r="C49" s="263" t="s">
        <v>141</v>
      </c>
      <c r="D49" s="263" t="s">
        <v>30</v>
      </c>
      <c r="E49" s="263" t="s">
        <v>43</v>
      </c>
      <c r="F49" s="263"/>
      <c r="G49" s="675">
        <f t="shared" ref="G49:O49" si="10">(G47*IT_Consultant_Daily_Rate)+G48</f>
        <v>42900</v>
      </c>
      <c r="H49" s="675">
        <f t="shared" si="10"/>
        <v>58180</v>
      </c>
      <c r="I49" s="675">
        <f t="shared" si="10"/>
        <v>42900</v>
      </c>
      <c r="J49" s="675">
        <f t="shared" si="10"/>
        <v>42900</v>
      </c>
      <c r="K49" s="675">
        <f t="shared" si="10"/>
        <v>0</v>
      </c>
      <c r="L49" s="675">
        <f t="shared" si="10"/>
        <v>0</v>
      </c>
      <c r="M49" s="675">
        <f t="shared" si="10"/>
        <v>21450</v>
      </c>
      <c r="N49" s="675">
        <f t="shared" si="10"/>
        <v>0</v>
      </c>
      <c r="O49" s="675">
        <f t="shared" si="10"/>
        <v>21450</v>
      </c>
      <c r="P49" s="263"/>
    </row>
    <row r="50" spans="1:16" x14ac:dyDescent="0.25">
      <c r="A50" s="263"/>
      <c r="B50" s="263"/>
      <c r="C50" s="263"/>
      <c r="D50" s="263"/>
      <c r="E50" s="263"/>
      <c r="F50" s="263"/>
      <c r="G50" s="263"/>
      <c r="H50" s="263"/>
      <c r="I50" s="263"/>
      <c r="J50" s="263"/>
      <c r="K50" s="263"/>
      <c r="L50" s="263"/>
      <c r="M50" s="263"/>
      <c r="N50" s="263"/>
      <c r="O50" s="263"/>
      <c r="P50" s="263"/>
    </row>
    <row r="51" spans="1:16" x14ac:dyDescent="0.25">
      <c r="A51" s="263"/>
      <c r="B51" s="263"/>
      <c r="C51" s="263" t="s">
        <v>141</v>
      </c>
      <c r="D51" s="263" t="s">
        <v>49</v>
      </c>
      <c r="E51" s="263" t="s">
        <v>47</v>
      </c>
      <c r="F51" s="263" t="s">
        <v>120</v>
      </c>
      <c r="G51" s="37">
        <f>Inputs_Delivery_Effort!AV49</f>
        <v>0.2</v>
      </c>
      <c r="H51" s="37">
        <f>Inputs_Delivery_Effort!AW49</f>
        <v>0.2</v>
      </c>
      <c r="I51" s="37">
        <f>Inputs_Delivery_Effort!AX49</f>
        <v>0.2</v>
      </c>
      <c r="J51" s="37">
        <f>Inputs_Delivery_Effort!AY49</f>
        <v>0.2</v>
      </c>
      <c r="K51" s="37">
        <f>Inputs_Delivery_Effort!AZ49</f>
        <v>0.2</v>
      </c>
      <c r="L51" s="37">
        <f>Inputs_Delivery_Effort!BA49</f>
        <v>0.2</v>
      </c>
      <c r="M51" s="37">
        <f>Inputs_Delivery_Effort!BB49</f>
        <v>0.2</v>
      </c>
      <c r="N51" s="37">
        <f>Inputs_Delivery_Effort!BC49</f>
        <v>0.2</v>
      </c>
      <c r="O51" s="37">
        <f>Inputs_Delivery_Effort!BD49</f>
        <v>0.2</v>
      </c>
      <c r="P51" s="263"/>
    </row>
    <row r="52" spans="1:16" x14ac:dyDescent="0.25">
      <c r="A52" s="263"/>
      <c r="B52" s="263"/>
      <c r="C52" s="263" t="s">
        <v>141</v>
      </c>
      <c r="D52" s="263" t="s">
        <v>30</v>
      </c>
      <c r="E52" s="263" t="s">
        <v>42</v>
      </c>
      <c r="F52" s="263"/>
      <c r="G52" s="675">
        <f t="shared" ref="G52:O52" si="11">(G47*IT_Consultant_Daily_Rate)*G51</f>
        <v>8580</v>
      </c>
      <c r="H52" s="675">
        <f t="shared" si="11"/>
        <v>9636</v>
      </c>
      <c r="I52" s="675">
        <f t="shared" si="11"/>
        <v>8580</v>
      </c>
      <c r="J52" s="675">
        <f t="shared" si="11"/>
        <v>8580</v>
      </c>
      <c r="K52" s="675">
        <f t="shared" si="11"/>
        <v>0</v>
      </c>
      <c r="L52" s="675">
        <f t="shared" si="11"/>
        <v>0</v>
      </c>
      <c r="M52" s="675">
        <f t="shared" si="11"/>
        <v>4290</v>
      </c>
      <c r="N52" s="675">
        <f t="shared" si="11"/>
        <v>0</v>
      </c>
      <c r="O52" s="675">
        <f t="shared" si="11"/>
        <v>4290</v>
      </c>
      <c r="P52" s="263"/>
    </row>
    <row r="53" spans="1:16" x14ac:dyDescent="0.25">
      <c r="A53" s="263"/>
      <c r="B53" s="263"/>
      <c r="C53" s="263"/>
      <c r="D53" s="263"/>
      <c r="E53" s="263"/>
      <c r="F53" s="263"/>
      <c r="G53" s="263"/>
      <c r="H53" s="263"/>
      <c r="I53" s="263"/>
      <c r="J53" s="263"/>
      <c r="K53" s="263"/>
      <c r="L53" s="263"/>
      <c r="M53" s="263"/>
      <c r="N53" s="263"/>
      <c r="O53" s="263"/>
      <c r="P53" s="263"/>
    </row>
    <row r="54" spans="1:16" x14ac:dyDescent="0.25">
      <c r="A54" s="117"/>
      <c r="B54" s="124"/>
      <c r="C54" s="125" t="s">
        <v>142</v>
      </c>
      <c r="D54" s="125"/>
      <c r="E54" s="125"/>
      <c r="F54" s="126"/>
      <c r="G54" s="126"/>
      <c r="H54" s="126"/>
      <c r="I54" s="126"/>
      <c r="J54" s="126"/>
      <c r="K54" s="126"/>
      <c r="L54" s="126"/>
      <c r="M54" s="126"/>
      <c r="N54" s="126"/>
      <c r="O54" s="126"/>
      <c r="P54" s="263"/>
    </row>
    <row r="55" spans="1:16" x14ac:dyDescent="0.25">
      <c r="A55" s="117"/>
      <c r="B55" s="124"/>
      <c r="C55" s="124"/>
      <c r="D55" s="124"/>
      <c r="E55" s="124"/>
      <c r="F55" s="128"/>
      <c r="G55" s="128"/>
      <c r="H55" s="128"/>
      <c r="I55" s="128"/>
      <c r="J55" s="128"/>
      <c r="K55" s="128"/>
      <c r="L55" s="128"/>
      <c r="M55" s="128"/>
      <c r="N55" s="128"/>
      <c r="O55" s="128"/>
      <c r="P55" s="263"/>
    </row>
    <row r="56" spans="1:16" x14ac:dyDescent="0.25">
      <c r="A56" s="263"/>
      <c r="B56" s="263"/>
      <c r="C56" s="263" t="s">
        <v>142</v>
      </c>
      <c r="D56" s="263" t="s">
        <v>61</v>
      </c>
      <c r="E56" s="263" t="s">
        <v>50</v>
      </c>
      <c r="F56" s="263" t="s">
        <v>152</v>
      </c>
      <c r="G56" s="673">
        <f>Inputs_Delivery_Effort!AV50</f>
        <v>122.76000000000002</v>
      </c>
      <c r="H56" s="673">
        <f>Inputs_Delivery_Effort!AW50</f>
        <v>162.36000000000001</v>
      </c>
      <c r="I56" s="673">
        <f>Inputs_Delivery_Effort!AX50</f>
        <v>122.76000000000002</v>
      </c>
      <c r="J56" s="673">
        <f>Inputs_Delivery_Effort!AY50</f>
        <v>122.76000000000002</v>
      </c>
      <c r="K56" s="673">
        <f>Inputs_Delivery_Effort!AZ50</f>
        <v>0</v>
      </c>
      <c r="L56" s="673">
        <f>Inputs_Delivery_Effort!BA50</f>
        <v>99.000000000000014</v>
      </c>
      <c r="M56" s="673">
        <f>Inputs_Delivery_Effort!BB50</f>
        <v>34.980000000000004</v>
      </c>
      <c r="N56" s="673">
        <f>Inputs_Delivery_Effort!BC50</f>
        <v>0</v>
      </c>
      <c r="O56" s="673">
        <f>Inputs_Delivery_Effort!BD50</f>
        <v>34.980000000000004</v>
      </c>
      <c r="P56" s="263"/>
    </row>
    <row r="57" spans="1:16" x14ac:dyDescent="0.25">
      <c r="A57" s="263"/>
      <c r="B57" s="263"/>
      <c r="C57" s="263" t="s">
        <v>142</v>
      </c>
      <c r="D57" s="263" t="s">
        <v>30</v>
      </c>
      <c r="E57" s="263" t="s">
        <v>50</v>
      </c>
      <c r="F57" s="263" t="s">
        <v>119</v>
      </c>
      <c r="G57" s="677">
        <f>Inputs_Delivery_Effort!AV51</f>
        <v>0</v>
      </c>
      <c r="H57" s="677">
        <f>Inputs_Delivery_Effort!AW51</f>
        <v>0</v>
      </c>
      <c r="I57" s="677">
        <f>Inputs_Delivery_Effort!AX51</f>
        <v>0</v>
      </c>
      <c r="J57" s="677">
        <f>Inputs_Delivery_Effort!AY51</f>
        <v>0</v>
      </c>
      <c r="K57" s="677">
        <f>Inputs_Delivery_Effort!AZ51</f>
        <v>0</v>
      </c>
      <c r="L57" s="677">
        <f>Inputs_Delivery_Effort!BA51</f>
        <v>0</v>
      </c>
      <c r="M57" s="677">
        <f>Inputs_Delivery_Effort!BB51</f>
        <v>0</v>
      </c>
      <c r="N57" s="677">
        <f>Inputs_Delivery_Effort!BC51</f>
        <v>0</v>
      </c>
      <c r="O57" s="677">
        <f>Inputs_Delivery_Effort!BD51</f>
        <v>0</v>
      </c>
      <c r="P57" s="263"/>
    </row>
    <row r="58" spans="1:16" x14ac:dyDescent="0.25">
      <c r="A58" s="263"/>
      <c r="B58" s="263"/>
      <c r="C58" s="263" t="s">
        <v>142</v>
      </c>
      <c r="D58" s="263" t="s">
        <v>30</v>
      </c>
      <c r="E58" s="263" t="s">
        <v>43</v>
      </c>
      <c r="F58" s="263"/>
      <c r="G58" s="675">
        <f t="shared" ref="G58:O58" si="12">(G56*IT_Consultant_Daily_Rate)+G57</f>
        <v>61380.000000000007</v>
      </c>
      <c r="H58" s="675">
        <f t="shared" si="12"/>
        <v>81180</v>
      </c>
      <c r="I58" s="675">
        <f t="shared" si="12"/>
        <v>61380.000000000007</v>
      </c>
      <c r="J58" s="675">
        <f t="shared" si="12"/>
        <v>61380.000000000007</v>
      </c>
      <c r="K58" s="675">
        <f t="shared" si="12"/>
        <v>0</v>
      </c>
      <c r="L58" s="675">
        <f t="shared" si="12"/>
        <v>49500.000000000007</v>
      </c>
      <c r="M58" s="675">
        <f t="shared" si="12"/>
        <v>17490.000000000004</v>
      </c>
      <c r="N58" s="675">
        <f t="shared" si="12"/>
        <v>0</v>
      </c>
      <c r="O58" s="675">
        <f t="shared" si="12"/>
        <v>17490.000000000004</v>
      </c>
      <c r="P58" s="263"/>
    </row>
    <row r="59" spans="1:16" x14ac:dyDescent="0.25">
      <c r="A59" s="263"/>
      <c r="B59" s="263"/>
      <c r="C59" s="263"/>
      <c r="D59" s="263"/>
      <c r="E59" s="263"/>
      <c r="F59" s="263"/>
      <c r="G59" s="263"/>
      <c r="H59" s="263"/>
      <c r="I59" s="263"/>
      <c r="J59" s="263"/>
      <c r="K59" s="263"/>
      <c r="L59" s="263"/>
      <c r="M59" s="263"/>
      <c r="N59" s="263"/>
      <c r="O59" s="263"/>
      <c r="P59" s="263"/>
    </row>
    <row r="60" spans="1:16" x14ac:dyDescent="0.25">
      <c r="A60" s="263"/>
      <c r="B60" s="263"/>
      <c r="C60" s="263" t="s">
        <v>142</v>
      </c>
      <c r="D60" s="263" t="s">
        <v>49</v>
      </c>
      <c r="E60" s="263" t="s">
        <v>47</v>
      </c>
      <c r="F60" s="263" t="s">
        <v>120</v>
      </c>
      <c r="G60" s="37">
        <f>Inputs_Delivery_Effort!AV52</f>
        <v>0.2</v>
      </c>
      <c r="H60" s="37">
        <f>Inputs_Delivery_Effort!AW52</f>
        <v>0.2</v>
      </c>
      <c r="I60" s="37">
        <f>Inputs_Delivery_Effort!AX52</f>
        <v>0.2</v>
      </c>
      <c r="J60" s="37">
        <f>Inputs_Delivery_Effort!AY52</f>
        <v>0.2</v>
      </c>
      <c r="K60" s="37">
        <f>Inputs_Delivery_Effort!AZ52</f>
        <v>0.2</v>
      </c>
      <c r="L60" s="37">
        <f>Inputs_Delivery_Effort!BA52</f>
        <v>0.2</v>
      </c>
      <c r="M60" s="37">
        <f>Inputs_Delivery_Effort!BB52</f>
        <v>0.2</v>
      </c>
      <c r="N60" s="37">
        <f>Inputs_Delivery_Effort!BC52</f>
        <v>0.2</v>
      </c>
      <c r="O60" s="37">
        <f>Inputs_Delivery_Effort!BD52</f>
        <v>0.2</v>
      </c>
      <c r="P60" s="263"/>
    </row>
    <row r="61" spans="1:16" x14ac:dyDescent="0.25">
      <c r="A61" s="263"/>
      <c r="B61" s="263"/>
      <c r="C61" s="263" t="s">
        <v>142</v>
      </c>
      <c r="D61" s="263" t="s">
        <v>30</v>
      </c>
      <c r="E61" s="263" t="s">
        <v>42</v>
      </c>
      <c r="F61" s="263"/>
      <c r="G61" s="675">
        <f t="shared" ref="G61:O61" si="13">(G56*IT_Consultant_Daily_Rate)*G60</f>
        <v>12276.000000000002</v>
      </c>
      <c r="H61" s="675">
        <f t="shared" si="13"/>
        <v>16236</v>
      </c>
      <c r="I61" s="675">
        <f t="shared" si="13"/>
        <v>12276.000000000002</v>
      </c>
      <c r="J61" s="675">
        <f t="shared" si="13"/>
        <v>12276.000000000002</v>
      </c>
      <c r="K61" s="675">
        <f t="shared" si="13"/>
        <v>0</v>
      </c>
      <c r="L61" s="675">
        <f t="shared" si="13"/>
        <v>9900.0000000000018</v>
      </c>
      <c r="M61" s="675">
        <f t="shared" si="13"/>
        <v>3498.0000000000009</v>
      </c>
      <c r="N61" s="675">
        <f t="shared" si="13"/>
        <v>0</v>
      </c>
      <c r="O61" s="675">
        <f t="shared" si="13"/>
        <v>3498.0000000000009</v>
      </c>
      <c r="P61" s="263"/>
    </row>
    <row r="62" spans="1:16" x14ac:dyDescent="0.25">
      <c r="A62" s="263"/>
      <c r="B62" s="263"/>
      <c r="C62" s="263"/>
      <c r="D62" s="263"/>
      <c r="E62" s="263"/>
      <c r="F62" s="263"/>
      <c r="G62" s="263"/>
      <c r="H62" s="263"/>
      <c r="I62" s="263"/>
      <c r="J62" s="263"/>
      <c r="K62" s="263"/>
      <c r="L62" s="263"/>
      <c r="M62" s="263"/>
      <c r="N62" s="263"/>
      <c r="O62" s="263"/>
      <c r="P62" s="263"/>
    </row>
    <row r="63" spans="1:16" x14ac:dyDescent="0.25">
      <c r="A63" s="117"/>
      <c r="B63" s="124"/>
      <c r="C63" s="125" t="s">
        <v>143</v>
      </c>
      <c r="D63" s="125"/>
      <c r="E63" s="125"/>
      <c r="F63" s="126"/>
      <c r="G63" s="126"/>
      <c r="H63" s="126"/>
      <c r="I63" s="126"/>
      <c r="J63" s="126"/>
      <c r="K63" s="126"/>
      <c r="L63" s="126"/>
      <c r="M63" s="126"/>
      <c r="N63" s="126"/>
      <c r="O63" s="126"/>
      <c r="P63" s="263"/>
    </row>
    <row r="64" spans="1:16" x14ac:dyDescent="0.25">
      <c r="A64" s="117"/>
      <c r="B64" s="124"/>
      <c r="C64" s="124"/>
      <c r="D64" s="124"/>
      <c r="E64" s="124"/>
      <c r="F64" s="128"/>
      <c r="G64" s="128"/>
      <c r="H64" s="128"/>
      <c r="I64" s="128"/>
      <c r="J64" s="128"/>
      <c r="K64" s="128"/>
      <c r="L64" s="128"/>
      <c r="M64" s="128"/>
      <c r="N64" s="128"/>
      <c r="O64" s="128"/>
      <c r="P64" s="263"/>
    </row>
    <row r="65" spans="1:16" x14ac:dyDescent="0.25">
      <c r="A65" s="263"/>
      <c r="B65" s="263"/>
      <c r="C65" s="263" t="s">
        <v>143</v>
      </c>
      <c r="D65" s="263" t="s">
        <v>61</v>
      </c>
      <c r="E65" s="263" t="s">
        <v>50</v>
      </c>
      <c r="F65" s="263" t="s">
        <v>152</v>
      </c>
      <c r="G65" s="673">
        <f>Inputs_Delivery_Effort!AV53</f>
        <v>122.76000000000002</v>
      </c>
      <c r="H65" s="673">
        <f>Inputs_Delivery_Effort!AW53</f>
        <v>162.36000000000001</v>
      </c>
      <c r="I65" s="673">
        <f>Inputs_Delivery_Effort!AX53</f>
        <v>122.76000000000002</v>
      </c>
      <c r="J65" s="673">
        <f>Inputs_Delivery_Effort!AY53</f>
        <v>122.76000000000002</v>
      </c>
      <c r="K65" s="673">
        <f>Inputs_Delivery_Effort!AZ53</f>
        <v>0</v>
      </c>
      <c r="L65" s="673">
        <f>Inputs_Delivery_Effort!BA53</f>
        <v>99.000000000000014</v>
      </c>
      <c r="M65" s="673">
        <f>Inputs_Delivery_Effort!BB53</f>
        <v>61.38000000000001</v>
      </c>
      <c r="N65" s="673">
        <f>Inputs_Delivery_Effort!BC53</f>
        <v>0</v>
      </c>
      <c r="O65" s="673">
        <f>Inputs_Delivery_Effort!BD53</f>
        <v>61.38000000000001</v>
      </c>
      <c r="P65" s="263"/>
    </row>
    <row r="66" spans="1:16" x14ac:dyDescent="0.25">
      <c r="A66" s="263"/>
      <c r="B66" s="263"/>
      <c r="C66" s="263" t="s">
        <v>143</v>
      </c>
      <c r="D66" s="263" t="s">
        <v>30</v>
      </c>
      <c r="E66" s="263" t="s">
        <v>50</v>
      </c>
      <c r="F66" s="263" t="s">
        <v>119</v>
      </c>
      <c r="G66" s="677">
        <f>Inputs_Delivery_Effort!AV54</f>
        <v>0</v>
      </c>
      <c r="H66" s="677">
        <f>Inputs_Delivery_Effort!AW54</f>
        <v>0</v>
      </c>
      <c r="I66" s="677">
        <f>Inputs_Delivery_Effort!AX54</f>
        <v>0</v>
      </c>
      <c r="J66" s="677">
        <f>Inputs_Delivery_Effort!AY54</f>
        <v>0</v>
      </c>
      <c r="K66" s="677">
        <f>Inputs_Delivery_Effort!AZ54</f>
        <v>0</v>
      </c>
      <c r="L66" s="677">
        <f>Inputs_Delivery_Effort!BA54</f>
        <v>0</v>
      </c>
      <c r="M66" s="677">
        <f>Inputs_Delivery_Effort!BB54</f>
        <v>0</v>
      </c>
      <c r="N66" s="677">
        <f>Inputs_Delivery_Effort!BC54</f>
        <v>0</v>
      </c>
      <c r="O66" s="677">
        <f>Inputs_Delivery_Effort!BD54</f>
        <v>0</v>
      </c>
      <c r="P66" s="263"/>
    </row>
    <row r="67" spans="1:16" x14ac:dyDescent="0.25">
      <c r="A67" s="263"/>
      <c r="B67" s="263"/>
      <c r="C67" s="263" t="s">
        <v>143</v>
      </c>
      <c r="D67" s="263" t="s">
        <v>30</v>
      </c>
      <c r="E67" s="263" t="s">
        <v>43</v>
      </c>
      <c r="F67" s="263"/>
      <c r="G67" s="675">
        <f t="shared" ref="G67:O67" si="14">(G65*IT_Consultant_Daily_Rate)+G66</f>
        <v>61380.000000000007</v>
      </c>
      <c r="H67" s="675">
        <f t="shared" si="14"/>
        <v>81180</v>
      </c>
      <c r="I67" s="675">
        <f t="shared" si="14"/>
        <v>61380.000000000007</v>
      </c>
      <c r="J67" s="675">
        <f t="shared" si="14"/>
        <v>61380.000000000007</v>
      </c>
      <c r="K67" s="675">
        <f t="shared" si="14"/>
        <v>0</v>
      </c>
      <c r="L67" s="675">
        <f t="shared" si="14"/>
        <v>49500.000000000007</v>
      </c>
      <c r="M67" s="675">
        <f t="shared" si="14"/>
        <v>30690.000000000004</v>
      </c>
      <c r="N67" s="675">
        <f t="shared" si="14"/>
        <v>0</v>
      </c>
      <c r="O67" s="675">
        <f t="shared" si="14"/>
        <v>30690.000000000004</v>
      </c>
      <c r="P67" s="263"/>
    </row>
    <row r="68" spans="1:16" x14ac:dyDescent="0.25">
      <c r="A68" s="263"/>
      <c r="B68" s="263"/>
      <c r="C68" s="263"/>
      <c r="D68" s="263"/>
      <c r="E68" s="263"/>
      <c r="F68" s="263"/>
      <c r="G68" s="263"/>
      <c r="H68" s="263"/>
      <c r="I68" s="263"/>
      <c r="J68" s="263"/>
      <c r="K68" s="263"/>
      <c r="L68" s="263"/>
      <c r="M68" s="263"/>
      <c r="N68" s="263"/>
      <c r="O68" s="263"/>
      <c r="P68" s="263"/>
    </row>
    <row r="69" spans="1:16" x14ac:dyDescent="0.25">
      <c r="A69" s="263"/>
      <c r="B69" s="263"/>
      <c r="C69" s="263" t="s">
        <v>143</v>
      </c>
      <c r="D69" s="263" t="s">
        <v>49</v>
      </c>
      <c r="E69" s="263" t="s">
        <v>47</v>
      </c>
      <c r="F69" s="263" t="s">
        <v>120</v>
      </c>
      <c r="G69" s="37">
        <f>Inputs_Delivery_Effort!AV55</f>
        <v>0.2</v>
      </c>
      <c r="H69" s="37">
        <f>Inputs_Delivery_Effort!AW55</f>
        <v>0.2</v>
      </c>
      <c r="I69" s="37">
        <f>Inputs_Delivery_Effort!AX55</f>
        <v>0.2</v>
      </c>
      <c r="J69" s="37">
        <f>Inputs_Delivery_Effort!AY55</f>
        <v>0.2</v>
      </c>
      <c r="K69" s="37">
        <f>Inputs_Delivery_Effort!AZ55</f>
        <v>0.2</v>
      </c>
      <c r="L69" s="37">
        <f>Inputs_Delivery_Effort!BA55</f>
        <v>0.2</v>
      </c>
      <c r="M69" s="37">
        <f>Inputs_Delivery_Effort!BB55</f>
        <v>0.2</v>
      </c>
      <c r="N69" s="37">
        <f>Inputs_Delivery_Effort!BC55</f>
        <v>0.2</v>
      </c>
      <c r="O69" s="37">
        <f>Inputs_Delivery_Effort!BD55</f>
        <v>0.2</v>
      </c>
      <c r="P69" s="263"/>
    </row>
    <row r="70" spans="1:16" x14ac:dyDescent="0.25">
      <c r="A70" s="263"/>
      <c r="B70" s="263"/>
      <c r="C70" s="263" t="s">
        <v>143</v>
      </c>
      <c r="D70" s="263" t="s">
        <v>30</v>
      </c>
      <c r="E70" s="263"/>
      <c r="F70" s="263"/>
      <c r="G70" s="675">
        <f t="shared" ref="G70:O70" si="15">(G65*IT_Consultant_Daily_Rate)*G69</f>
        <v>12276.000000000002</v>
      </c>
      <c r="H70" s="675">
        <f t="shared" si="15"/>
        <v>16236</v>
      </c>
      <c r="I70" s="675">
        <f t="shared" si="15"/>
        <v>12276.000000000002</v>
      </c>
      <c r="J70" s="675">
        <f t="shared" si="15"/>
        <v>12276.000000000002</v>
      </c>
      <c r="K70" s="675">
        <f t="shared" si="15"/>
        <v>0</v>
      </c>
      <c r="L70" s="675">
        <f t="shared" si="15"/>
        <v>9900.0000000000018</v>
      </c>
      <c r="M70" s="675">
        <f t="shared" si="15"/>
        <v>6138.0000000000009</v>
      </c>
      <c r="N70" s="675">
        <f t="shared" si="15"/>
        <v>0</v>
      </c>
      <c r="O70" s="675">
        <f t="shared" si="15"/>
        <v>6138.0000000000009</v>
      </c>
      <c r="P70" s="263"/>
    </row>
    <row r="71" spans="1:16" x14ac:dyDescent="0.25">
      <c r="A71" s="263"/>
      <c r="B71" s="263"/>
      <c r="C71" s="263"/>
      <c r="D71" s="263"/>
      <c r="E71" s="263"/>
      <c r="F71" s="263"/>
      <c r="G71" s="263"/>
      <c r="H71" s="263"/>
      <c r="I71" s="263"/>
      <c r="J71" s="263"/>
      <c r="K71" s="263"/>
      <c r="L71" s="263"/>
      <c r="M71" s="263"/>
      <c r="N71" s="263"/>
      <c r="O71" s="263"/>
      <c r="P71" s="263"/>
    </row>
    <row r="72" spans="1:16" x14ac:dyDescent="0.25">
      <c r="A72" s="117"/>
      <c r="B72" s="124"/>
      <c r="C72" s="125" t="s">
        <v>147</v>
      </c>
      <c r="D72" s="125"/>
      <c r="E72" s="125"/>
      <c r="F72" s="126"/>
      <c r="G72" s="126"/>
      <c r="H72" s="126"/>
      <c r="I72" s="126"/>
      <c r="J72" s="126"/>
      <c r="K72" s="126"/>
      <c r="L72" s="126"/>
      <c r="M72" s="126"/>
      <c r="N72" s="126"/>
      <c r="O72" s="126"/>
      <c r="P72" s="263"/>
    </row>
    <row r="73" spans="1:16" x14ac:dyDescent="0.25">
      <c r="A73" s="117"/>
      <c r="B73" s="124"/>
      <c r="C73" s="124"/>
      <c r="D73" s="124"/>
      <c r="E73" s="124"/>
      <c r="F73" s="128"/>
      <c r="G73" s="128"/>
      <c r="H73" s="128"/>
      <c r="I73" s="128"/>
      <c r="J73" s="128"/>
      <c r="K73" s="128"/>
      <c r="L73" s="128"/>
      <c r="M73" s="128"/>
      <c r="N73" s="128"/>
      <c r="O73" s="128"/>
      <c r="P73" s="263"/>
    </row>
    <row r="74" spans="1:16" x14ac:dyDescent="0.25">
      <c r="A74" s="263"/>
      <c r="B74" s="263"/>
      <c r="C74" s="263" t="s">
        <v>147</v>
      </c>
      <c r="D74" s="263" t="s">
        <v>61</v>
      </c>
      <c r="E74" s="263" t="s">
        <v>50</v>
      </c>
      <c r="F74" s="263" t="s">
        <v>152</v>
      </c>
      <c r="G74" s="673">
        <f>Inputs_Delivery_Effort!AV56</f>
        <v>24.75</v>
      </c>
      <c r="H74" s="673">
        <f>Inputs_Delivery_Effort!AW56</f>
        <v>24.75</v>
      </c>
      <c r="I74" s="673">
        <f>Inputs_Delivery_Effort!AX56</f>
        <v>24.75</v>
      </c>
      <c r="J74" s="673">
        <f>Inputs_Delivery_Effort!AY56</f>
        <v>24.75</v>
      </c>
      <c r="K74" s="673">
        <f>Inputs_Delivery_Effort!AZ56</f>
        <v>0</v>
      </c>
      <c r="L74" s="673">
        <f>Inputs_Delivery_Effort!BA56</f>
        <v>24.75</v>
      </c>
      <c r="M74" s="673">
        <f>Inputs_Delivery_Effort!BB56</f>
        <v>12.375</v>
      </c>
      <c r="N74" s="673">
        <f>Inputs_Delivery_Effort!BC56</f>
        <v>0</v>
      </c>
      <c r="O74" s="673">
        <f>Inputs_Delivery_Effort!BD56</f>
        <v>12.375</v>
      </c>
      <c r="P74" s="263"/>
    </row>
    <row r="75" spans="1:16" x14ac:dyDescent="0.25">
      <c r="A75" s="263"/>
      <c r="B75" s="263"/>
      <c r="C75" s="263" t="s">
        <v>147</v>
      </c>
      <c r="D75" s="263" t="s">
        <v>30</v>
      </c>
      <c r="E75" s="263" t="s">
        <v>50</v>
      </c>
      <c r="F75" s="263" t="s">
        <v>119</v>
      </c>
      <c r="G75" s="677">
        <f>Inputs_Delivery_Effort!AV57</f>
        <v>0</v>
      </c>
      <c r="H75" s="677">
        <f>Inputs_Delivery_Effort!AW57</f>
        <v>0</v>
      </c>
      <c r="I75" s="677">
        <f>Inputs_Delivery_Effort!AX57</f>
        <v>0</v>
      </c>
      <c r="J75" s="677">
        <f>Inputs_Delivery_Effort!AY57</f>
        <v>0</v>
      </c>
      <c r="K75" s="677">
        <f>Inputs_Delivery_Effort!AZ57</f>
        <v>0</v>
      </c>
      <c r="L75" s="677">
        <f>Inputs_Delivery_Effort!BA57</f>
        <v>0</v>
      </c>
      <c r="M75" s="677">
        <f>Inputs_Delivery_Effort!BB57</f>
        <v>0</v>
      </c>
      <c r="N75" s="677">
        <f>Inputs_Delivery_Effort!BC57</f>
        <v>0</v>
      </c>
      <c r="O75" s="677">
        <f>Inputs_Delivery_Effort!BD57</f>
        <v>0</v>
      </c>
      <c r="P75" s="263"/>
    </row>
    <row r="76" spans="1:16" x14ac:dyDescent="0.25">
      <c r="A76" s="263"/>
      <c r="B76" s="263"/>
      <c r="C76" s="263" t="s">
        <v>147</v>
      </c>
      <c r="D76" s="263" t="s">
        <v>30</v>
      </c>
      <c r="E76" s="263" t="s">
        <v>43</v>
      </c>
      <c r="F76" s="263"/>
      <c r="G76" s="675">
        <f t="shared" ref="G76:O76" si="16">(G74*IT_Consultant_Daily_Rate)+G75</f>
        <v>12375</v>
      </c>
      <c r="H76" s="675">
        <f t="shared" si="16"/>
        <v>12375</v>
      </c>
      <c r="I76" s="675">
        <f t="shared" si="16"/>
        <v>12375</v>
      </c>
      <c r="J76" s="675">
        <f t="shared" si="16"/>
        <v>12375</v>
      </c>
      <c r="K76" s="675">
        <f t="shared" si="16"/>
        <v>0</v>
      </c>
      <c r="L76" s="675">
        <f t="shared" si="16"/>
        <v>12375</v>
      </c>
      <c r="M76" s="675">
        <f t="shared" si="16"/>
        <v>6187.5</v>
      </c>
      <c r="N76" s="675">
        <f t="shared" si="16"/>
        <v>0</v>
      </c>
      <c r="O76" s="675">
        <f t="shared" si="16"/>
        <v>6187.5</v>
      </c>
      <c r="P76" s="263"/>
    </row>
    <row r="77" spans="1:16" x14ac:dyDescent="0.25">
      <c r="A77" s="263"/>
      <c r="B77" s="263"/>
      <c r="C77" s="263"/>
      <c r="D77" s="263"/>
      <c r="E77" s="263"/>
      <c r="F77" s="263"/>
      <c r="G77" s="263"/>
      <c r="H77" s="263"/>
      <c r="I77" s="263"/>
      <c r="J77" s="263"/>
      <c r="K77" s="263"/>
      <c r="L77" s="263"/>
      <c r="M77" s="263"/>
      <c r="N77" s="263"/>
      <c r="O77" s="263"/>
      <c r="P77" s="263"/>
    </row>
    <row r="78" spans="1:16" s="131" customFormat="1" x14ac:dyDescent="0.25">
      <c r="A78" s="39"/>
      <c r="B78" s="39"/>
      <c r="C78" s="39" t="s">
        <v>147</v>
      </c>
      <c r="D78" s="39" t="s">
        <v>49</v>
      </c>
      <c r="E78" s="39" t="s">
        <v>47</v>
      </c>
      <c r="F78" s="39" t="s">
        <v>120</v>
      </c>
      <c r="G78" s="37">
        <f>Inputs_Delivery_Effort!AV58</f>
        <v>0.2</v>
      </c>
      <c r="H78" s="37">
        <f>Inputs_Delivery_Effort!AW58</f>
        <v>0.2</v>
      </c>
      <c r="I78" s="37">
        <f>Inputs_Delivery_Effort!AX58</f>
        <v>0.2</v>
      </c>
      <c r="J78" s="37">
        <f>Inputs_Delivery_Effort!AY58</f>
        <v>0.2</v>
      </c>
      <c r="K78" s="37">
        <f>Inputs_Delivery_Effort!AZ58</f>
        <v>0.2</v>
      </c>
      <c r="L78" s="37">
        <f>Inputs_Delivery_Effort!BA58</f>
        <v>0.2</v>
      </c>
      <c r="M78" s="37">
        <f>Inputs_Delivery_Effort!BB58</f>
        <v>0.2</v>
      </c>
      <c r="N78" s="37">
        <f>Inputs_Delivery_Effort!BC58</f>
        <v>0.2</v>
      </c>
      <c r="O78" s="37">
        <f>Inputs_Delivery_Effort!BD58</f>
        <v>0.2</v>
      </c>
      <c r="P78" s="39"/>
    </row>
    <row r="79" spans="1:16" s="131" customFormat="1" x14ac:dyDescent="0.25">
      <c r="A79" s="39"/>
      <c r="B79" s="39"/>
      <c r="C79" s="39" t="s">
        <v>147</v>
      </c>
      <c r="D79" s="265" t="s">
        <v>30</v>
      </c>
      <c r="E79" s="265" t="s">
        <v>42</v>
      </c>
      <c r="F79" s="39"/>
      <c r="G79" s="675">
        <f t="shared" ref="G79:O79" si="17">(G74*IT_Consultant_Daily_Rate)*G78</f>
        <v>2475</v>
      </c>
      <c r="H79" s="675">
        <f t="shared" si="17"/>
        <v>2475</v>
      </c>
      <c r="I79" s="675">
        <f t="shared" si="17"/>
        <v>2475</v>
      </c>
      <c r="J79" s="675">
        <f t="shared" si="17"/>
        <v>2475</v>
      </c>
      <c r="K79" s="675">
        <f t="shared" si="17"/>
        <v>0</v>
      </c>
      <c r="L79" s="675">
        <f t="shared" si="17"/>
        <v>2475</v>
      </c>
      <c r="M79" s="675">
        <f t="shared" si="17"/>
        <v>1237.5</v>
      </c>
      <c r="N79" s="675">
        <f t="shared" si="17"/>
        <v>0</v>
      </c>
      <c r="O79" s="675">
        <f t="shared" si="17"/>
        <v>1237.5</v>
      </c>
      <c r="P79" s="39"/>
    </row>
    <row r="80" spans="1:16" x14ac:dyDescent="0.25">
      <c r="A80" s="263"/>
      <c r="B80" s="263"/>
      <c r="C80" s="263"/>
      <c r="D80" s="263"/>
      <c r="E80" s="263"/>
      <c r="F80" s="263"/>
      <c r="G80" s="263"/>
      <c r="H80" s="263"/>
      <c r="I80" s="263"/>
      <c r="J80" s="263"/>
      <c r="K80" s="263"/>
      <c r="L80" s="263"/>
      <c r="M80" s="263"/>
      <c r="N80" s="263"/>
      <c r="O80" s="263"/>
      <c r="P80" s="263"/>
    </row>
    <row r="81" spans="1:16" x14ac:dyDescent="0.25">
      <c r="A81" s="117"/>
      <c r="B81" s="124"/>
      <c r="C81" s="125" t="s">
        <v>144</v>
      </c>
      <c r="D81" s="125"/>
      <c r="E81" s="125"/>
      <c r="F81" s="126"/>
      <c r="G81" s="126"/>
      <c r="H81" s="126"/>
      <c r="I81" s="126"/>
      <c r="J81" s="126"/>
      <c r="K81" s="126"/>
      <c r="L81" s="126"/>
      <c r="M81" s="126"/>
      <c r="N81" s="126"/>
      <c r="O81" s="126"/>
      <c r="P81" s="263"/>
    </row>
    <row r="82" spans="1:16" x14ac:dyDescent="0.25">
      <c r="A82" s="117"/>
      <c r="B82" s="124"/>
      <c r="C82" s="124"/>
      <c r="D82" s="124"/>
      <c r="E82" s="124"/>
      <c r="F82" s="128"/>
      <c r="G82" s="128"/>
      <c r="H82" s="128"/>
      <c r="I82" s="128"/>
      <c r="J82" s="128"/>
      <c r="K82" s="128"/>
      <c r="L82" s="128"/>
      <c r="M82" s="128"/>
      <c r="N82" s="128"/>
      <c r="O82" s="128"/>
      <c r="P82" s="263"/>
    </row>
    <row r="83" spans="1:16" x14ac:dyDescent="0.25">
      <c r="A83" s="263"/>
      <c r="B83" s="263"/>
      <c r="C83" s="263" t="s">
        <v>144</v>
      </c>
      <c r="D83" s="263" t="s">
        <v>61</v>
      </c>
      <c r="E83" s="263" t="s">
        <v>50</v>
      </c>
      <c r="F83" s="263" t="s">
        <v>152</v>
      </c>
      <c r="G83" s="673">
        <f>Inputs_Delivery_Effort!AV59</f>
        <v>79.200000000000017</v>
      </c>
      <c r="H83" s="673">
        <f>Inputs_Delivery_Effort!AW59</f>
        <v>118.80000000000001</v>
      </c>
      <c r="I83" s="673">
        <f>Inputs_Delivery_Effort!AX59</f>
        <v>79.200000000000017</v>
      </c>
      <c r="J83" s="673">
        <f>Inputs_Delivery_Effort!AY59</f>
        <v>79.200000000000017</v>
      </c>
      <c r="K83" s="673">
        <f>Inputs_Delivery_Effort!AZ59</f>
        <v>217.80000000000007</v>
      </c>
      <c r="L83" s="673">
        <f>Inputs_Delivery_Effort!BA59</f>
        <v>79.200000000000017</v>
      </c>
      <c r="M83" s="673">
        <f>Inputs_Delivery_Effort!BB59</f>
        <v>39.600000000000009</v>
      </c>
      <c r="N83" s="673">
        <f>Inputs_Delivery_Effort!BC59</f>
        <v>0</v>
      </c>
      <c r="O83" s="673">
        <f>Inputs_Delivery_Effort!BD59</f>
        <v>39.600000000000009</v>
      </c>
      <c r="P83" s="263"/>
    </row>
    <row r="84" spans="1:16" x14ac:dyDescent="0.25">
      <c r="A84" s="263"/>
      <c r="B84" s="263"/>
      <c r="C84" s="263" t="s">
        <v>144</v>
      </c>
      <c r="D84" s="263" t="s">
        <v>30</v>
      </c>
      <c r="E84" s="263" t="s">
        <v>50</v>
      </c>
      <c r="F84" s="263" t="s">
        <v>119</v>
      </c>
      <c r="G84" s="677">
        <f>Inputs_Delivery_Effort!AV60</f>
        <v>0</v>
      </c>
      <c r="H84" s="677">
        <f>Inputs_Delivery_Effort!AW60</f>
        <v>0</v>
      </c>
      <c r="I84" s="677">
        <f>Inputs_Delivery_Effort!AX60</f>
        <v>0</v>
      </c>
      <c r="J84" s="677">
        <f>Inputs_Delivery_Effort!AY60</f>
        <v>0</v>
      </c>
      <c r="K84" s="677">
        <f>Inputs_Delivery_Effort!AZ60</f>
        <v>0</v>
      </c>
      <c r="L84" s="677">
        <f>Inputs_Delivery_Effort!BA60</f>
        <v>0</v>
      </c>
      <c r="M84" s="677">
        <f>Inputs_Delivery_Effort!BB60</f>
        <v>0</v>
      </c>
      <c r="N84" s="677">
        <f>Inputs_Delivery_Effort!BC60</f>
        <v>0</v>
      </c>
      <c r="O84" s="677">
        <f>Inputs_Delivery_Effort!BD60</f>
        <v>0</v>
      </c>
      <c r="P84" s="263"/>
    </row>
    <row r="85" spans="1:16" x14ac:dyDescent="0.25">
      <c r="A85" s="263"/>
      <c r="B85" s="263"/>
      <c r="C85" s="263" t="s">
        <v>144</v>
      </c>
      <c r="D85" s="263" t="s">
        <v>30</v>
      </c>
      <c r="E85" s="263" t="s">
        <v>43</v>
      </c>
      <c r="F85" s="263"/>
      <c r="G85" s="675">
        <f t="shared" ref="G85:O85" si="18">(G83*IT_Consultant_Daily_Rate)+G84</f>
        <v>39600.000000000007</v>
      </c>
      <c r="H85" s="675">
        <f t="shared" si="18"/>
        <v>59400.000000000007</v>
      </c>
      <c r="I85" s="675">
        <f t="shared" si="18"/>
        <v>39600.000000000007</v>
      </c>
      <c r="J85" s="675">
        <f t="shared" si="18"/>
        <v>39600.000000000007</v>
      </c>
      <c r="K85" s="675">
        <f t="shared" si="18"/>
        <v>108900.00000000003</v>
      </c>
      <c r="L85" s="675">
        <f t="shared" si="18"/>
        <v>39600.000000000007</v>
      </c>
      <c r="M85" s="675">
        <f t="shared" si="18"/>
        <v>19800.000000000004</v>
      </c>
      <c r="N85" s="675">
        <f t="shared" si="18"/>
        <v>0</v>
      </c>
      <c r="O85" s="675">
        <f t="shared" si="18"/>
        <v>19800.000000000004</v>
      </c>
      <c r="P85" s="263"/>
    </row>
    <row r="86" spans="1:16" x14ac:dyDescent="0.25">
      <c r="A86" s="263"/>
      <c r="B86" s="263"/>
      <c r="C86" s="263"/>
      <c r="D86" s="263"/>
      <c r="E86" s="263"/>
      <c r="F86" s="263"/>
      <c r="G86" s="263"/>
      <c r="H86" s="263"/>
      <c r="I86" s="263"/>
      <c r="J86" s="263"/>
      <c r="K86" s="263"/>
      <c r="L86" s="263"/>
      <c r="M86" s="263"/>
      <c r="N86" s="263"/>
      <c r="O86" s="263"/>
      <c r="P86" s="263"/>
    </row>
    <row r="87" spans="1:16" x14ac:dyDescent="0.25">
      <c r="A87" s="263"/>
      <c r="B87" s="263"/>
      <c r="C87" s="263" t="s">
        <v>144</v>
      </c>
      <c r="D87" s="263" t="s">
        <v>49</v>
      </c>
      <c r="E87" s="263" t="s">
        <v>47</v>
      </c>
      <c r="F87" s="263" t="s">
        <v>120</v>
      </c>
      <c r="G87" s="37">
        <f>Inputs_Delivery_Effort!AV61</f>
        <v>0.2</v>
      </c>
      <c r="H87" s="37">
        <f>Inputs_Delivery_Effort!AW61</f>
        <v>0.2</v>
      </c>
      <c r="I87" s="37">
        <f>Inputs_Delivery_Effort!AX61</f>
        <v>0.2</v>
      </c>
      <c r="J87" s="37">
        <f>Inputs_Delivery_Effort!AY61</f>
        <v>0.2</v>
      </c>
      <c r="K87" s="37">
        <f>Inputs_Delivery_Effort!AZ61</f>
        <v>0.2</v>
      </c>
      <c r="L87" s="37">
        <f>Inputs_Delivery_Effort!BA61</f>
        <v>0.2</v>
      </c>
      <c r="M87" s="37">
        <f>Inputs_Delivery_Effort!BB61</f>
        <v>0.2</v>
      </c>
      <c r="N87" s="37">
        <f>Inputs_Delivery_Effort!BC61</f>
        <v>0.2</v>
      </c>
      <c r="O87" s="37">
        <f>Inputs_Delivery_Effort!BD61</f>
        <v>0.2</v>
      </c>
      <c r="P87" s="263"/>
    </row>
    <row r="88" spans="1:16" x14ac:dyDescent="0.25">
      <c r="A88" s="263"/>
      <c r="B88" s="263"/>
      <c r="C88" s="263" t="s">
        <v>144</v>
      </c>
      <c r="D88" s="263" t="s">
        <v>30</v>
      </c>
      <c r="E88" s="263" t="s">
        <v>42</v>
      </c>
      <c r="F88" s="263"/>
      <c r="G88" s="675">
        <f t="shared" ref="G88:O88" si="19">(G83*IT_Consultant_Daily_Rate)*G87</f>
        <v>7920.0000000000018</v>
      </c>
      <c r="H88" s="675">
        <f t="shared" si="19"/>
        <v>11880.000000000002</v>
      </c>
      <c r="I88" s="675">
        <f t="shared" si="19"/>
        <v>7920.0000000000018</v>
      </c>
      <c r="J88" s="675">
        <f t="shared" si="19"/>
        <v>7920.0000000000018</v>
      </c>
      <c r="K88" s="675">
        <f t="shared" si="19"/>
        <v>21780.000000000007</v>
      </c>
      <c r="L88" s="675">
        <f t="shared" si="19"/>
        <v>7920.0000000000018</v>
      </c>
      <c r="M88" s="675">
        <f t="shared" si="19"/>
        <v>3960.0000000000009</v>
      </c>
      <c r="N88" s="675">
        <f t="shared" si="19"/>
        <v>0</v>
      </c>
      <c r="O88" s="675">
        <f t="shared" si="19"/>
        <v>3960.0000000000009</v>
      </c>
      <c r="P88" s="263"/>
    </row>
    <row r="89" spans="1:16" x14ac:dyDescent="0.25">
      <c r="A89" s="263"/>
      <c r="B89" s="263"/>
      <c r="C89" s="263"/>
      <c r="D89" s="263"/>
      <c r="E89" s="263"/>
      <c r="F89" s="263"/>
      <c r="G89" s="263"/>
      <c r="H89" s="263"/>
      <c r="I89" s="263"/>
      <c r="J89" s="263"/>
      <c r="K89" s="263"/>
      <c r="L89" s="263"/>
      <c r="M89" s="263"/>
      <c r="N89" s="263"/>
      <c r="O89" s="263"/>
      <c r="P89" s="263"/>
    </row>
    <row r="90" spans="1:16" x14ac:dyDescent="0.25">
      <c r="A90" s="117"/>
      <c r="B90" s="124"/>
      <c r="C90" s="125" t="s">
        <v>114</v>
      </c>
      <c r="D90" s="125"/>
      <c r="E90" s="125"/>
      <c r="F90" s="126"/>
      <c r="G90" s="126"/>
      <c r="H90" s="126"/>
      <c r="I90" s="126"/>
      <c r="J90" s="126"/>
      <c r="K90" s="126"/>
      <c r="L90" s="126"/>
      <c r="M90" s="126"/>
      <c r="N90" s="126"/>
      <c r="O90" s="126"/>
      <c r="P90" s="263"/>
    </row>
    <row r="91" spans="1:16" x14ac:dyDescent="0.25">
      <c r="A91" s="117"/>
      <c r="B91" s="124"/>
      <c r="C91" s="124"/>
      <c r="D91" s="124"/>
      <c r="E91" s="124"/>
      <c r="F91" s="128"/>
      <c r="G91" s="128"/>
      <c r="H91" s="128"/>
      <c r="I91" s="128"/>
      <c r="J91" s="128"/>
      <c r="K91" s="128"/>
      <c r="L91" s="128"/>
      <c r="M91" s="128"/>
      <c r="N91" s="128"/>
      <c r="O91" s="128"/>
      <c r="P91" s="263"/>
    </row>
    <row r="92" spans="1:16" x14ac:dyDescent="0.25">
      <c r="A92" s="263"/>
      <c r="B92" s="263"/>
      <c r="C92" s="263" t="s">
        <v>114</v>
      </c>
      <c r="D92" s="263" t="s">
        <v>61</v>
      </c>
      <c r="E92" s="263" t="s">
        <v>50</v>
      </c>
      <c r="F92" s="263" t="s">
        <v>152</v>
      </c>
      <c r="G92" s="673">
        <f>Inputs_Delivery_Effort!AV62</f>
        <v>3.3000000000000003</v>
      </c>
      <c r="H92" s="673">
        <f>Inputs_Delivery_Effort!AW62</f>
        <v>3.3000000000000003</v>
      </c>
      <c r="I92" s="673">
        <f>Inputs_Delivery_Effort!AX62</f>
        <v>3.3000000000000003</v>
      </c>
      <c r="J92" s="673">
        <f>Inputs_Delivery_Effort!AY62</f>
        <v>3.3000000000000003</v>
      </c>
      <c r="K92" s="673">
        <f>Inputs_Delivery_Effort!AZ62</f>
        <v>0</v>
      </c>
      <c r="L92" s="673">
        <f>Inputs_Delivery_Effort!BA62</f>
        <v>0</v>
      </c>
      <c r="M92" s="673">
        <f>Inputs_Delivery_Effort!BB62</f>
        <v>1.6500000000000001</v>
      </c>
      <c r="N92" s="673">
        <f>Inputs_Delivery_Effort!BC62</f>
        <v>0</v>
      </c>
      <c r="O92" s="673">
        <f>Inputs_Delivery_Effort!BD62</f>
        <v>1.6500000000000001</v>
      </c>
      <c r="P92" s="263"/>
    </row>
    <row r="93" spans="1:16" x14ac:dyDescent="0.25">
      <c r="A93" s="263"/>
      <c r="B93" s="263"/>
      <c r="C93" s="263" t="s">
        <v>114</v>
      </c>
      <c r="D93" s="263" t="s">
        <v>30</v>
      </c>
      <c r="E93" s="263" t="s">
        <v>50</v>
      </c>
      <c r="F93" s="263" t="s">
        <v>119</v>
      </c>
      <c r="G93" s="677">
        <f>Inputs_Delivery_Effort!AV63</f>
        <v>0</v>
      </c>
      <c r="H93" s="677">
        <f>Inputs_Delivery_Effort!AW63</f>
        <v>0</v>
      </c>
      <c r="I93" s="677">
        <f>Inputs_Delivery_Effort!AX63</f>
        <v>0</v>
      </c>
      <c r="J93" s="677">
        <f>Inputs_Delivery_Effort!AY63</f>
        <v>0</v>
      </c>
      <c r="K93" s="677">
        <f>Inputs_Delivery_Effort!AZ63</f>
        <v>0</v>
      </c>
      <c r="L93" s="677">
        <f>Inputs_Delivery_Effort!BA63</f>
        <v>0</v>
      </c>
      <c r="M93" s="677">
        <f>Inputs_Delivery_Effort!BB63</f>
        <v>0</v>
      </c>
      <c r="N93" s="677">
        <f>Inputs_Delivery_Effort!BC63</f>
        <v>0</v>
      </c>
      <c r="O93" s="677">
        <f>Inputs_Delivery_Effort!BD63</f>
        <v>0</v>
      </c>
      <c r="P93" s="263"/>
    </row>
    <row r="94" spans="1:16" x14ac:dyDescent="0.25">
      <c r="A94" s="263"/>
      <c r="B94" s="263"/>
      <c r="C94" s="263" t="s">
        <v>114</v>
      </c>
      <c r="D94" s="263" t="s">
        <v>30</v>
      </c>
      <c r="E94" s="263" t="s">
        <v>43</v>
      </c>
      <c r="F94" s="263"/>
      <c r="G94" s="675">
        <f t="shared" ref="G94:O94" si="20">(G92*IT_Consultant_Daily_Rate)+G93</f>
        <v>1650.0000000000002</v>
      </c>
      <c r="H94" s="675">
        <f t="shared" si="20"/>
        <v>1650.0000000000002</v>
      </c>
      <c r="I94" s="675">
        <f t="shared" si="20"/>
        <v>1650.0000000000002</v>
      </c>
      <c r="J94" s="675">
        <f t="shared" si="20"/>
        <v>1650.0000000000002</v>
      </c>
      <c r="K94" s="675">
        <f t="shared" si="20"/>
        <v>0</v>
      </c>
      <c r="L94" s="675">
        <f t="shared" si="20"/>
        <v>0</v>
      </c>
      <c r="M94" s="675">
        <f t="shared" si="20"/>
        <v>825.00000000000011</v>
      </c>
      <c r="N94" s="675">
        <f t="shared" si="20"/>
        <v>0</v>
      </c>
      <c r="O94" s="675">
        <f t="shared" si="20"/>
        <v>825.00000000000011</v>
      </c>
      <c r="P94" s="263"/>
    </row>
    <row r="95" spans="1:16" x14ac:dyDescent="0.25">
      <c r="A95" s="263"/>
      <c r="B95" s="263"/>
      <c r="C95" s="263"/>
      <c r="D95" s="263"/>
      <c r="E95" s="263"/>
      <c r="F95" s="263"/>
      <c r="G95" s="263"/>
      <c r="H95" s="263"/>
      <c r="I95" s="263"/>
      <c r="J95" s="263"/>
      <c r="K95" s="263"/>
      <c r="L95" s="263"/>
      <c r="M95" s="263"/>
      <c r="N95" s="263"/>
      <c r="O95" s="263"/>
      <c r="P95" s="263"/>
    </row>
    <row r="96" spans="1:16" x14ac:dyDescent="0.25">
      <c r="A96" s="263"/>
      <c r="B96" s="263"/>
      <c r="C96" s="263" t="s">
        <v>114</v>
      </c>
      <c r="D96" s="263" t="s">
        <v>49</v>
      </c>
      <c r="E96" s="263" t="s">
        <v>47</v>
      </c>
      <c r="F96" s="263" t="s">
        <v>120</v>
      </c>
      <c r="G96" s="37">
        <f>Inputs_Delivery_Effort!AV64</f>
        <v>0.2</v>
      </c>
      <c r="H96" s="37">
        <f>Inputs_Delivery_Effort!AW64</f>
        <v>0.2</v>
      </c>
      <c r="I96" s="37">
        <f>Inputs_Delivery_Effort!AX64</f>
        <v>0.2</v>
      </c>
      <c r="J96" s="37">
        <f>Inputs_Delivery_Effort!AY64</f>
        <v>0.2</v>
      </c>
      <c r="K96" s="37">
        <f>Inputs_Delivery_Effort!AZ64</f>
        <v>0.2</v>
      </c>
      <c r="L96" s="37">
        <f>Inputs_Delivery_Effort!BA64</f>
        <v>0.2</v>
      </c>
      <c r="M96" s="37">
        <f>Inputs_Delivery_Effort!BB64</f>
        <v>0.2</v>
      </c>
      <c r="N96" s="37">
        <f>Inputs_Delivery_Effort!BC64</f>
        <v>0.2</v>
      </c>
      <c r="O96" s="37">
        <f>Inputs_Delivery_Effort!BD64</f>
        <v>0.2</v>
      </c>
      <c r="P96" s="263"/>
    </row>
    <row r="97" spans="1:16" x14ac:dyDescent="0.25">
      <c r="A97" s="263"/>
      <c r="B97" s="263"/>
      <c r="C97" s="263" t="s">
        <v>114</v>
      </c>
      <c r="D97" s="263" t="s">
        <v>30</v>
      </c>
      <c r="E97" s="263" t="s">
        <v>42</v>
      </c>
      <c r="F97" s="263"/>
      <c r="G97" s="675">
        <f t="shared" ref="G97:O97" si="21">(G92*IT_Consultant_Daily_Rate)*G96</f>
        <v>330.00000000000006</v>
      </c>
      <c r="H97" s="675">
        <f t="shared" si="21"/>
        <v>330.00000000000006</v>
      </c>
      <c r="I97" s="675">
        <f t="shared" si="21"/>
        <v>330.00000000000006</v>
      </c>
      <c r="J97" s="675">
        <f t="shared" si="21"/>
        <v>330.00000000000006</v>
      </c>
      <c r="K97" s="675">
        <f t="shared" si="21"/>
        <v>0</v>
      </c>
      <c r="L97" s="675">
        <f t="shared" si="21"/>
        <v>0</v>
      </c>
      <c r="M97" s="675">
        <f t="shared" si="21"/>
        <v>165.00000000000003</v>
      </c>
      <c r="N97" s="675">
        <f t="shared" si="21"/>
        <v>0</v>
      </c>
      <c r="O97" s="675">
        <f t="shared" si="21"/>
        <v>165.00000000000003</v>
      </c>
      <c r="P97" s="263"/>
    </row>
    <row r="98" spans="1:16" x14ac:dyDescent="0.25">
      <c r="A98" s="263"/>
      <c r="B98" s="263"/>
      <c r="C98" s="263"/>
      <c r="D98" s="263"/>
      <c r="E98" s="263"/>
      <c r="F98" s="263"/>
      <c r="G98" s="263"/>
      <c r="H98" s="263"/>
      <c r="I98" s="263"/>
      <c r="J98" s="263"/>
      <c r="K98" s="263"/>
      <c r="L98" s="263"/>
      <c r="M98" s="263"/>
      <c r="N98" s="263"/>
      <c r="O98" s="263"/>
      <c r="P98" s="263"/>
    </row>
    <row r="99" spans="1:16" x14ac:dyDescent="0.25">
      <c r="A99" s="117"/>
      <c r="B99" s="124"/>
      <c r="C99" s="125" t="s">
        <v>112</v>
      </c>
      <c r="D99" s="125"/>
      <c r="E99" s="125"/>
      <c r="F99" s="126"/>
      <c r="G99" s="126"/>
      <c r="H99" s="126"/>
      <c r="I99" s="126"/>
      <c r="J99" s="126"/>
      <c r="K99" s="126"/>
      <c r="L99" s="126"/>
      <c r="M99" s="126"/>
      <c r="N99" s="126"/>
      <c r="O99" s="126"/>
      <c r="P99" s="263"/>
    </row>
    <row r="100" spans="1:16" x14ac:dyDescent="0.25">
      <c r="A100" s="117"/>
      <c r="B100" s="124"/>
      <c r="C100" s="124"/>
      <c r="D100" s="124"/>
      <c r="E100" s="124"/>
      <c r="F100" s="128"/>
      <c r="G100" s="128"/>
      <c r="H100" s="128"/>
      <c r="I100" s="128"/>
      <c r="J100" s="128"/>
      <c r="K100" s="128"/>
      <c r="L100" s="128"/>
      <c r="M100" s="128"/>
      <c r="N100" s="128"/>
      <c r="O100" s="128"/>
      <c r="P100" s="263"/>
    </row>
    <row r="101" spans="1:16" x14ac:dyDescent="0.25">
      <c r="A101" s="263"/>
      <c r="B101" s="263"/>
      <c r="C101" s="263" t="s">
        <v>112</v>
      </c>
      <c r="D101" s="263" t="s">
        <v>61</v>
      </c>
      <c r="E101" s="263" t="s">
        <v>50</v>
      </c>
      <c r="F101" s="263" t="s">
        <v>152</v>
      </c>
      <c r="G101" s="673">
        <f>Inputs_Delivery_Effort!AV65</f>
        <v>17.160000000000004</v>
      </c>
      <c r="H101" s="673">
        <f>Inputs_Delivery_Effort!AW65</f>
        <v>17.160000000000004</v>
      </c>
      <c r="I101" s="673">
        <f>Inputs_Delivery_Effort!AX65</f>
        <v>17.160000000000004</v>
      </c>
      <c r="J101" s="673">
        <f>Inputs_Delivery_Effort!AY65</f>
        <v>17.160000000000004</v>
      </c>
      <c r="K101" s="673">
        <f>Inputs_Delivery_Effort!AZ65</f>
        <v>0</v>
      </c>
      <c r="L101" s="673">
        <f>Inputs_Delivery_Effort!BA65</f>
        <v>0</v>
      </c>
      <c r="M101" s="673">
        <f>Inputs_Delivery_Effort!BB65</f>
        <v>8.5800000000000018</v>
      </c>
      <c r="N101" s="673">
        <f>Inputs_Delivery_Effort!BC65</f>
        <v>0</v>
      </c>
      <c r="O101" s="673">
        <f>Inputs_Delivery_Effort!BD65</f>
        <v>8.5800000000000018</v>
      </c>
      <c r="P101" s="263"/>
    </row>
    <row r="102" spans="1:16" x14ac:dyDescent="0.25">
      <c r="A102" s="263"/>
      <c r="B102" s="263"/>
      <c r="C102" s="263" t="s">
        <v>112</v>
      </c>
      <c r="D102" s="263" t="s">
        <v>30</v>
      </c>
      <c r="E102" s="263" t="s">
        <v>50</v>
      </c>
      <c r="F102" s="263" t="s">
        <v>119</v>
      </c>
      <c r="G102" s="677">
        <f>Inputs_Delivery_Effort!AV66</f>
        <v>0</v>
      </c>
      <c r="H102" s="677">
        <f>Inputs_Delivery_Effort!AW66</f>
        <v>0</v>
      </c>
      <c r="I102" s="677">
        <f>Inputs_Delivery_Effort!AX66</f>
        <v>0</v>
      </c>
      <c r="J102" s="677">
        <f>Inputs_Delivery_Effort!AY66</f>
        <v>0</v>
      </c>
      <c r="K102" s="677">
        <f>Inputs_Delivery_Effort!AZ66</f>
        <v>0</v>
      </c>
      <c r="L102" s="677">
        <f>Inputs_Delivery_Effort!BA66</f>
        <v>0</v>
      </c>
      <c r="M102" s="677">
        <f>Inputs_Delivery_Effort!BB66</f>
        <v>0</v>
      </c>
      <c r="N102" s="677">
        <f>Inputs_Delivery_Effort!BC66</f>
        <v>0</v>
      </c>
      <c r="O102" s="677">
        <f>Inputs_Delivery_Effort!BD66</f>
        <v>0</v>
      </c>
      <c r="P102" s="263"/>
    </row>
    <row r="103" spans="1:16" x14ac:dyDescent="0.25">
      <c r="A103" s="263"/>
      <c r="B103" s="263"/>
      <c r="C103" s="263" t="s">
        <v>112</v>
      </c>
      <c r="D103" s="263" t="s">
        <v>30</v>
      </c>
      <c r="E103" s="263" t="s">
        <v>43</v>
      </c>
      <c r="F103" s="263"/>
      <c r="G103" s="675">
        <f t="shared" ref="G103:O103" si="22">(G101*IT_Consultant_Daily_Rate)+G102</f>
        <v>8580.0000000000018</v>
      </c>
      <c r="H103" s="675">
        <f t="shared" si="22"/>
        <v>8580.0000000000018</v>
      </c>
      <c r="I103" s="675">
        <f t="shared" si="22"/>
        <v>8580.0000000000018</v>
      </c>
      <c r="J103" s="675">
        <f t="shared" si="22"/>
        <v>8580.0000000000018</v>
      </c>
      <c r="K103" s="675">
        <f t="shared" si="22"/>
        <v>0</v>
      </c>
      <c r="L103" s="675">
        <f t="shared" si="22"/>
        <v>0</v>
      </c>
      <c r="M103" s="675">
        <f t="shared" si="22"/>
        <v>4290.0000000000009</v>
      </c>
      <c r="N103" s="675">
        <f t="shared" si="22"/>
        <v>0</v>
      </c>
      <c r="O103" s="675">
        <f t="shared" si="22"/>
        <v>4290.0000000000009</v>
      </c>
      <c r="P103" s="263"/>
    </row>
    <row r="104" spans="1:16" x14ac:dyDescent="0.25">
      <c r="A104" s="263"/>
      <c r="B104" s="263"/>
      <c r="C104" s="263"/>
      <c r="D104" s="263"/>
      <c r="E104" s="263"/>
      <c r="F104" s="263"/>
      <c r="G104" s="263"/>
      <c r="H104" s="263"/>
      <c r="I104" s="263"/>
      <c r="J104" s="263"/>
      <c r="K104" s="263"/>
      <c r="L104" s="263"/>
      <c r="M104" s="263"/>
      <c r="N104" s="263"/>
      <c r="O104" s="263"/>
      <c r="P104" s="263"/>
    </row>
    <row r="105" spans="1:16" x14ac:dyDescent="0.25">
      <c r="A105" s="263"/>
      <c r="B105" s="263"/>
      <c r="C105" s="263" t="s">
        <v>112</v>
      </c>
      <c r="D105" s="263" t="s">
        <v>49</v>
      </c>
      <c r="E105" s="263" t="s">
        <v>47</v>
      </c>
      <c r="F105" s="263" t="s">
        <v>120</v>
      </c>
      <c r="G105" s="37">
        <f>Inputs_Delivery_Effort!AV67</f>
        <v>0.2</v>
      </c>
      <c r="H105" s="37">
        <f>Inputs_Delivery_Effort!AW67</f>
        <v>0.2</v>
      </c>
      <c r="I105" s="37">
        <f>Inputs_Delivery_Effort!AX67</f>
        <v>0.2</v>
      </c>
      <c r="J105" s="37">
        <f>Inputs_Delivery_Effort!AY67</f>
        <v>0.2</v>
      </c>
      <c r="K105" s="37">
        <f>Inputs_Delivery_Effort!AZ67</f>
        <v>0.2</v>
      </c>
      <c r="L105" s="37">
        <f>Inputs_Delivery_Effort!BA67</f>
        <v>0.2</v>
      </c>
      <c r="M105" s="37">
        <f>Inputs_Delivery_Effort!BB67</f>
        <v>0.2</v>
      </c>
      <c r="N105" s="37">
        <f>Inputs_Delivery_Effort!BC67</f>
        <v>0.2</v>
      </c>
      <c r="O105" s="37">
        <f>Inputs_Delivery_Effort!BD67</f>
        <v>0.2</v>
      </c>
      <c r="P105" s="263"/>
    </row>
    <row r="106" spans="1:16" x14ac:dyDescent="0.25">
      <c r="A106" s="263"/>
      <c r="B106" s="263"/>
      <c r="C106" s="263" t="s">
        <v>112</v>
      </c>
      <c r="D106" s="263" t="s">
        <v>30</v>
      </c>
      <c r="E106" s="263" t="s">
        <v>42</v>
      </c>
      <c r="F106" s="263"/>
      <c r="G106" s="675">
        <f t="shared" ref="G106:O106" si="23">(G101*IT_Consultant_Daily_Rate)*G105</f>
        <v>1716.0000000000005</v>
      </c>
      <c r="H106" s="675">
        <f t="shared" si="23"/>
        <v>1716.0000000000005</v>
      </c>
      <c r="I106" s="675">
        <f t="shared" si="23"/>
        <v>1716.0000000000005</v>
      </c>
      <c r="J106" s="675">
        <f t="shared" si="23"/>
        <v>1716.0000000000005</v>
      </c>
      <c r="K106" s="675">
        <f t="shared" si="23"/>
        <v>0</v>
      </c>
      <c r="L106" s="675">
        <f t="shared" si="23"/>
        <v>0</v>
      </c>
      <c r="M106" s="675">
        <f t="shared" si="23"/>
        <v>858.00000000000023</v>
      </c>
      <c r="N106" s="675">
        <f t="shared" si="23"/>
        <v>0</v>
      </c>
      <c r="O106" s="675">
        <f t="shared" si="23"/>
        <v>858.00000000000023</v>
      </c>
      <c r="P106" s="263"/>
    </row>
    <row r="107" spans="1:16" x14ac:dyDescent="0.25">
      <c r="A107" s="263"/>
      <c r="B107" s="263"/>
      <c r="C107" s="263"/>
      <c r="D107" s="263"/>
      <c r="E107" s="263"/>
      <c r="F107" s="263"/>
      <c r="G107" s="263"/>
      <c r="H107" s="263"/>
      <c r="I107" s="263"/>
      <c r="J107" s="263"/>
      <c r="K107" s="263"/>
      <c r="L107" s="263"/>
      <c r="M107" s="263"/>
      <c r="N107" s="263"/>
      <c r="O107" s="263"/>
      <c r="P107" s="263"/>
    </row>
    <row r="108" spans="1:16" x14ac:dyDescent="0.25">
      <c r="A108" s="117"/>
      <c r="B108" s="124"/>
      <c r="C108" s="125" t="s">
        <v>148</v>
      </c>
      <c r="D108" s="125"/>
      <c r="E108" s="125"/>
      <c r="F108" s="126"/>
      <c r="G108" s="126"/>
      <c r="H108" s="126"/>
      <c r="I108" s="126"/>
      <c r="J108" s="126"/>
      <c r="K108" s="126"/>
      <c r="L108" s="126"/>
      <c r="M108" s="126"/>
      <c r="N108" s="126"/>
      <c r="O108" s="126"/>
      <c r="P108" s="263"/>
    </row>
    <row r="109" spans="1:16" x14ac:dyDescent="0.25">
      <c r="A109" s="117"/>
      <c r="B109" s="124"/>
      <c r="C109" s="124"/>
      <c r="D109" s="124"/>
      <c r="E109" s="124"/>
      <c r="F109" s="128"/>
      <c r="G109" s="128"/>
      <c r="H109" s="128"/>
      <c r="I109" s="128"/>
      <c r="J109" s="128"/>
      <c r="K109" s="128"/>
      <c r="L109" s="128"/>
      <c r="M109" s="128"/>
      <c r="N109" s="128"/>
      <c r="O109" s="128"/>
      <c r="P109" s="263"/>
    </row>
    <row r="110" spans="1:16" x14ac:dyDescent="0.25">
      <c r="A110" s="263"/>
      <c r="B110" s="263"/>
      <c r="C110" s="263" t="s">
        <v>148</v>
      </c>
      <c r="D110" s="263" t="s">
        <v>61</v>
      </c>
      <c r="E110" s="263" t="s">
        <v>50</v>
      </c>
      <c r="F110" s="263" t="s">
        <v>151</v>
      </c>
      <c r="G110" s="673">
        <f>Inputs_Delivery_Effort!AV68</f>
        <v>33</v>
      </c>
      <c r="H110" s="673">
        <f>Inputs_Delivery_Effort!AW68</f>
        <v>33</v>
      </c>
      <c r="I110" s="673">
        <f>Inputs_Delivery_Effort!AX68</f>
        <v>33</v>
      </c>
      <c r="J110" s="673">
        <f>Inputs_Delivery_Effort!AY68</f>
        <v>33</v>
      </c>
      <c r="K110" s="673">
        <f>Inputs_Delivery_Effort!AZ68</f>
        <v>0</v>
      </c>
      <c r="L110" s="673">
        <f>Inputs_Delivery_Effort!BA68</f>
        <v>0</v>
      </c>
      <c r="M110" s="673">
        <f>Inputs_Delivery_Effort!BB68</f>
        <v>16.5</v>
      </c>
      <c r="N110" s="673">
        <f>Inputs_Delivery_Effort!BC68</f>
        <v>0</v>
      </c>
      <c r="O110" s="673">
        <f>Inputs_Delivery_Effort!BD68</f>
        <v>16.5</v>
      </c>
      <c r="P110" s="263"/>
    </row>
    <row r="111" spans="1:16" x14ac:dyDescent="0.25">
      <c r="A111" s="263"/>
      <c r="B111" s="263"/>
      <c r="C111" s="263" t="s">
        <v>148</v>
      </c>
      <c r="D111" s="263" t="s">
        <v>30</v>
      </c>
      <c r="E111" s="263" t="s">
        <v>50</v>
      </c>
      <c r="F111" s="263" t="s">
        <v>119</v>
      </c>
      <c r="G111" s="677">
        <f>Inputs_Delivery_Effort!AV69</f>
        <v>0</v>
      </c>
      <c r="H111" s="677">
        <f>Inputs_Delivery_Effort!AW69</f>
        <v>0</v>
      </c>
      <c r="I111" s="677">
        <f>Inputs_Delivery_Effort!AX69</f>
        <v>0</v>
      </c>
      <c r="J111" s="677">
        <f>Inputs_Delivery_Effort!AY69</f>
        <v>0</v>
      </c>
      <c r="K111" s="677">
        <f>Inputs_Delivery_Effort!AZ69</f>
        <v>0</v>
      </c>
      <c r="L111" s="677">
        <f>Inputs_Delivery_Effort!BA69</f>
        <v>0</v>
      </c>
      <c r="M111" s="677">
        <f>Inputs_Delivery_Effort!BB69</f>
        <v>0</v>
      </c>
      <c r="N111" s="677">
        <f>Inputs_Delivery_Effort!BC69</f>
        <v>0</v>
      </c>
      <c r="O111" s="677">
        <f>Inputs_Delivery_Effort!BD69</f>
        <v>0</v>
      </c>
      <c r="P111" s="263"/>
    </row>
    <row r="112" spans="1:16" x14ac:dyDescent="0.25">
      <c r="A112" s="263"/>
      <c r="B112" s="263"/>
      <c r="C112" s="263" t="s">
        <v>148</v>
      </c>
      <c r="D112" s="263" t="s">
        <v>30</v>
      </c>
      <c r="E112" s="263" t="s">
        <v>43</v>
      </c>
      <c r="F112" s="263"/>
      <c r="G112" s="675">
        <f t="shared" ref="G112:O112" si="24">(G110*IT_Consultant_Daily_Rate)+G111</f>
        <v>16500</v>
      </c>
      <c r="H112" s="675">
        <f t="shared" si="24"/>
        <v>16500</v>
      </c>
      <c r="I112" s="675">
        <f t="shared" si="24"/>
        <v>16500</v>
      </c>
      <c r="J112" s="675">
        <f t="shared" si="24"/>
        <v>16500</v>
      </c>
      <c r="K112" s="675">
        <f t="shared" si="24"/>
        <v>0</v>
      </c>
      <c r="L112" s="675">
        <f t="shared" si="24"/>
        <v>0</v>
      </c>
      <c r="M112" s="675">
        <f t="shared" si="24"/>
        <v>8250</v>
      </c>
      <c r="N112" s="675">
        <f t="shared" si="24"/>
        <v>0</v>
      </c>
      <c r="O112" s="675">
        <f t="shared" si="24"/>
        <v>8250</v>
      </c>
      <c r="P112" s="263"/>
    </row>
    <row r="113" spans="1:16" x14ac:dyDescent="0.25">
      <c r="A113" s="263"/>
      <c r="B113" s="263"/>
      <c r="C113" s="263"/>
      <c r="D113" s="263"/>
      <c r="E113" s="263"/>
      <c r="F113" s="263"/>
      <c r="G113" s="263"/>
      <c r="H113" s="263"/>
      <c r="I113" s="263"/>
      <c r="J113" s="263"/>
      <c r="K113" s="263"/>
      <c r="L113" s="263"/>
      <c r="M113" s="263"/>
      <c r="N113" s="263"/>
      <c r="O113" s="263"/>
      <c r="P113" s="263"/>
    </row>
    <row r="114" spans="1:16" x14ac:dyDescent="0.25">
      <c r="A114" s="263"/>
      <c r="B114" s="263"/>
      <c r="C114" s="263" t="s">
        <v>148</v>
      </c>
      <c r="D114" s="263" t="s">
        <v>49</v>
      </c>
      <c r="E114" s="263" t="s">
        <v>47</v>
      </c>
      <c r="F114" s="263" t="s">
        <v>120</v>
      </c>
      <c r="G114" s="37">
        <f>Inputs_Delivery_Effort!AV70</f>
        <v>0.2</v>
      </c>
      <c r="H114" s="37">
        <f>Inputs_Delivery_Effort!AW70</f>
        <v>0.2</v>
      </c>
      <c r="I114" s="37">
        <f>Inputs_Delivery_Effort!AX70</f>
        <v>0.2</v>
      </c>
      <c r="J114" s="37">
        <f>Inputs_Delivery_Effort!AY70</f>
        <v>0.2</v>
      </c>
      <c r="K114" s="37">
        <f>Inputs_Delivery_Effort!AZ70</f>
        <v>0.2</v>
      </c>
      <c r="L114" s="37">
        <f>Inputs_Delivery_Effort!BA70</f>
        <v>0.2</v>
      </c>
      <c r="M114" s="37">
        <f>Inputs_Delivery_Effort!BB70</f>
        <v>0.2</v>
      </c>
      <c r="N114" s="37">
        <f>Inputs_Delivery_Effort!BC70</f>
        <v>0.2</v>
      </c>
      <c r="O114" s="37">
        <f>Inputs_Delivery_Effort!BD70</f>
        <v>0.2</v>
      </c>
      <c r="P114" s="263"/>
    </row>
    <row r="115" spans="1:16" x14ac:dyDescent="0.25">
      <c r="A115" s="263"/>
      <c r="B115" s="263"/>
      <c r="C115" s="263" t="s">
        <v>148</v>
      </c>
      <c r="D115" s="263" t="s">
        <v>30</v>
      </c>
      <c r="E115" s="263" t="s">
        <v>42</v>
      </c>
      <c r="F115" s="263"/>
      <c r="G115" s="675">
        <f t="shared" ref="G115:O115" si="25">(G110*IT_Consultant_Daily_Rate)*G114</f>
        <v>3300</v>
      </c>
      <c r="H115" s="675">
        <f t="shared" si="25"/>
        <v>3300</v>
      </c>
      <c r="I115" s="675">
        <f t="shared" si="25"/>
        <v>3300</v>
      </c>
      <c r="J115" s="675">
        <f t="shared" si="25"/>
        <v>3300</v>
      </c>
      <c r="K115" s="675">
        <f t="shared" si="25"/>
        <v>0</v>
      </c>
      <c r="L115" s="675">
        <f t="shared" si="25"/>
        <v>0</v>
      </c>
      <c r="M115" s="675">
        <f t="shared" si="25"/>
        <v>1650</v>
      </c>
      <c r="N115" s="675">
        <f t="shared" si="25"/>
        <v>0</v>
      </c>
      <c r="O115" s="675">
        <f t="shared" si="25"/>
        <v>1650</v>
      </c>
      <c r="P115" s="263"/>
    </row>
    <row r="116" spans="1:16" x14ac:dyDescent="0.25">
      <c r="A116" s="263"/>
      <c r="B116" s="263"/>
      <c r="C116" s="263"/>
      <c r="D116" s="263"/>
      <c r="E116" s="263"/>
      <c r="F116" s="263"/>
      <c r="G116" s="263"/>
      <c r="H116" s="263"/>
      <c r="I116" s="263"/>
      <c r="J116" s="263"/>
      <c r="K116" s="263"/>
      <c r="L116" s="263"/>
      <c r="M116" s="263"/>
      <c r="N116" s="263"/>
      <c r="O116" s="263"/>
      <c r="P116" s="263"/>
    </row>
    <row r="117" spans="1:16" x14ac:dyDescent="0.25">
      <c r="A117" s="117"/>
      <c r="B117" s="124"/>
      <c r="C117" s="125" t="s">
        <v>157</v>
      </c>
      <c r="D117" s="125"/>
      <c r="E117" s="125"/>
      <c r="F117" s="126"/>
      <c r="G117" s="126"/>
      <c r="H117" s="126"/>
      <c r="I117" s="126"/>
      <c r="J117" s="126"/>
      <c r="K117" s="126"/>
      <c r="L117" s="126"/>
      <c r="M117" s="126"/>
      <c r="N117" s="126"/>
      <c r="O117" s="126"/>
      <c r="P117" s="263"/>
    </row>
    <row r="118" spans="1:16" x14ac:dyDescent="0.25">
      <c r="A118" s="117"/>
      <c r="B118" s="124"/>
      <c r="C118" s="124"/>
      <c r="D118" s="124"/>
      <c r="E118" s="124"/>
      <c r="F118" s="128"/>
      <c r="G118" s="128"/>
      <c r="H118" s="128"/>
      <c r="I118" s="128"/>
      <c r="J118" s="128"/>
      <c r="K118" s="128"/>
      <c r="L118" s="128"/>
      <c r="M118" s="128"/>
      <c r="N118" s="128"/>
      <c r="O118" s="128"/>
      <c r="P118" s="263"/>
    </row>
    <row r="119" spans="1:16" x14ac:dyDescent="0.25">
      <c r="A119" s="263"/>
      <c r="B119" s="263"/>
      <c r="C119" s="263" t="s">
        <v>157</v>
      </c>
      <c r="D119" s="263" t="s">
        <v>61</v>
      </c>
      <c r="E119" s="263" t="s">
        <v>50</v>
      </c>
      <c r="F119" s="263" t="s">
        <v>152</v>
      </c>
      <c r="G119" s="673">
        <f>Inputs_Delivery_Effort!AV71</f>
        <v>79.200000000000017</v>
      </c>
      <c r="H119" s="673">
        <f>Inputs_Delivery_Effort!AW71</f>
        <v>118.80000000000001</v>
      </c>
      <c r="I119" s="673">
        <f>Inputs_Delivery_Effort!AX71</f>
        <v>79.200000000000017</v>
      </c>
      <c r="J119" s="673">
        <f>Inputs_Delivery_Effort!AY71</f>
        <v>79.200000000000017</v>
      </c>
      <c r="K119" s="673">
        <f>Inputs_Delivery_Effort!AZ71</f>
        <v>217.80000000000007</v>
      </c>
      <c r="L119" s="673">
        <f>Inputs_Delivery_Effort!BA71</f>
        <v>79.200000000000017</v>
      </c>
      <c r="M119" s="673">
        <f>Inputs_Delivery_Effort!BB71</f>
        <v>39.600000000000009</v>
      </c>
      <c r="N119" s="673">
        <f>Inputs_Delivery_Effort!BC71</f>
        <v>0</v>
      </c>
      <c r="O119" s="673">
        <f>Inputs_Delivery_Effort!BD71</f>
        <v>39.600000000000009</v>
      </c>
      <c r="P119" s="263"/>
    </row>
    <row r="120" spans="1:16" x14ac:dyDescent="0.25">
      <c r="A120" s="263"/>
      <c r="B120" s="263"/>
      <c r="C120" s="263" t="s">
        <v>157</v>
      </c>
      <c r="D120" s="263" t="s">
        <v>30</v>
      </c>
      <c r="E120" s="263" t="s">
        <v>50</v>
      </c>
      <c r="F120" s="263" t="s">
        <v>119</v>
      </c>
      <c r="G120" s="677">
        <f>Inputs_Delivery_Effort!AV72</f>
        <v>0</v>
      </c>
      <c r="H120" s="677">
        <f>Inputs_Delivery_Effort!AW72</f>
        <v>0</v>
      </c>
      <c r="I120" s="677">
        <f>Inputs_Delivery_Effort!AX72</f>
        <v>0</v>
      </c>
      <c r="J120" s="677">
        <f>Inputs_Delivery_Effort!AY72</f>
        <v>0</v>
      </c>
      <c r="K120" s="677">
        <f>Inputs_Delivery_Effort!AZ72</f>
        <v>0</v>
      </c>
      <c r="L120" s="677">
        <f>Inputs_Delivery_Effort!BA72</f>
        <v>0</v>
      </c>
      <c r="M120" s="677">
        <f>Inputs_Delivery_Effort!BB72</f>
        <v>0</v>
      </c>
      <c r="N120" s="677">
        <f>Inputs_Delivery_Effort!BC72</f>
        <v>0</v>
      </c>
      <c r="O120" s="677">
        <f>Inputs_Delivery_Effort!BD72</f>
        <v>0</v>
      </c>
      <c r="P120" s="263"/>
    </row>
    <row r="121" spans="1:16" x14ac:dyDescent="0.25">
      <c r="A121" s="263"/>
      <c r="B121" s="263"/>
      <c r="C121" s="263" t="s">
        <v>157</v>
      </c>
      <c r="D121" s="263" t="s">
        <v>30</v>
      </c>
      <c r="E121" s="263" t="s">
        <v>43</v>
      </c>
      <c r="F121" s="263"/>
      <c r="G121" s="675">
        <f t="shared" ref="G121:O121" si="26">(G119*IT_Consultant_Daily_Rate)+G120</f>
        <v>39600.000000000007</v>
      </c>
      <c r="H121" s="675">
        <f t="shared" si="26"/>
        <v>59400.000000000007</v>
      </c>
      <c r="I121" s="675">
        <f t="shared" si="26"/>
        <v>39600.000000000007</v>
      </c>
      <c r="J121" s="675">
        <f t="shared" si="26"/>
        <v>39600.000000000007</v>
      </c>
      <c r="K121" s="675">
        <f t="shared" si="26"/>
        <v>108900.00000000003</v>
      </c>
      <c r="L121" s="675">
        <f t="shared" si="26"/>
        <v>39600.000000000007</v>
      </c>
      <c r="M121" s="675">
        <f t="shared" si="26"/>
        <v>19800.000000000004</v>
      </c>
      <c r="N121" s="675">
        <f t="shared" si="26"/>
        <v>0</v>
      </c>
      <c r="O121" s="675">
        <f t="shared" si="26"/>
        <v>19800.000000000004</v>
      </c>
      <c r="P121" s="263"/>
    </row>
    <row r="122" spans="1:16" x14ac:dyDescent="0.25">
      <c r="A122" s="263"/>
      <c r="B122" s="263"/>
      <c r="C122" s="263"/>
      <c r="D122" s="263"/>
      <c r="E122" s="263"/>
      <c r="F122" s="263"/>
      <c r="G122" s="263"/>
      <c r="H122" s="263"/>
      <c r="I122" s="263"/>
      <c r="J122" s="263"/>
      <c r="K122" s="263"/>
      <c r="L122" s="263"/>
      <c r="M122" s="263"/>
      <c r="N122" s="263"/>
      <c r="O122" s="263"/>
      <c r="P122" s="263"/>
    </row>
    <row r="123" spans="1:16" x14ac:dyDescent="0.25">
      <c r="A123" s="263"/>
      <c r="B123" s="263"/>
      <c r="C123" s="263" t="s">
        <v>157</v>
      </c>
      <c r="D123" s="263" t="s">
        <v>49</v>
      </c>
      <c r="E123" s="263" t="s">
        <v>47</v>
      </c>
      <c r="F123" s="263" t="s">
        <v>120</v>
      </c>
      <c r="G123" s="37">
        <f>Inputs_Delivery_Effort!AV73</f>
        <v>0.2</v>
      </c>
      <c r="H123" s="37">
        <f>Inputs_Delivery_Effort!AW73</f>
        <v>0.2</v>
      </c>
      <c r="I123" s="37">
        <f>Inputs_Delivery_Effort!AX73</f>
        <v>0.2</v>
      </c>
      <c r="J123" s="37">
        <f>Inputs_Delivery_Effort!AY73</f>
        <v>0.2</v>
      </c>
      <c r="K123" s="37">
        <f>Inputs_Delivery_Effort!AZ73</f>
        <v>0.2</v>
      </c>
      <c r="L123" s="37">
        <f>Inputs_Delivery_Effort!BA73</f>
        <v>0.2</v>
      </c>
      <c r="M123" s="37">
        <f>Inputs_Delivery_Effort!BB73</f>
        <v>0.2</v>
      </c>
      <c r="N123" s="37">
        <f>Inputs_Delivery_Effort!BC73</f>
        <v>0.2</v>
      </c>
      <c r="O123" s="37">
        <f>Inputs_Delivery_Effort!BD73</f>
        <v>0.2</v>
      </c>
      <c r="P123" s="263"/>
    </row>
    <row r="124" spans="1:16" x14ac:dyDescent="0.25">
      <c r="A124" s="263"/>
      <c r="B124" s="263"/>
      <c r="C124" s="263" t="s">
        <v>157</v>
      </c>
      <c r="D124" s="263" t="s">
        <v>30</v>
      </c>
      <c r="E124" s="263" t="s">
        <v>42</v>
      </c>
      <c r="F124" s="263"/>
      <c r="G124" s="675">
        <f t="shared" ref="G124:O124" si="27">(G119*IT_Consultant_Daily_Rate)*G123</f>
        <v>7920.0000000000018</v>
      </c>
      <c r="H124" s="675">
        <f t="shared" si="27"/>
        <v>11880.000000000002</v>
      </c>
      <c r="I124" s="675">
        <f t="shared" si="27"/>
        <v>7920.0000000000018</v>
      </c>
      <c r="J124" s="675">
        <f t="shared" si="27"/>
        <v>7920.0000000000018</v>
      </c>
      <c r="K124" s="675">
        <f t="shared" si="27"/>
        <v>21780.000000000007</v>
      </c>
      <c r="L124" s="675">
        <f t="shared" si="27"/>
        <v>7920.0000000000018</v>
      </c>
      <c r="M124" s="675">
        <f t="shared" si="27"/>
        <v>3960.0000000000009</v>
      </c>
      <c r="N124" s="675">
        <f t="shared" si="27"/>
        <v>0</v>
      </c>
      <c r="O124" s="675">
        <f t="shared" si="27"/>
        <v>3960.0000000000009</v>
      </c>
      <c r="P124" s="263"/>
    </row>
    <row r="125" spans="1:16" x14ac:dyDescent="0.25">
      <c r="A125" s="263"/>
      <c r="B125" s="263"/>
      <c r="C125" s="263"/>
      <c r="D125" s="263"/>
      <c r="E125" s="263"/>
      <c r="F125" s="263"/>
      <c r="G125" s="263"/>
      <c r="H125" s="263"/>
      <c r="I125" s="263"/>
      <c r="J125" s="263"/>
      <c r="K125" s="263"/>
      <c r="L125" s="263"/>
      <c r="M125" s="263"/>
      <c r="N125" s="263"/>
      <c r="O125" s="263"/>
      <c r="P125" s="263"/>
    </row>
    <row r="126" spans="1:16" x14ac:dyDescent="0.25">
      <c r="A126" s="263"/>
      <c r="B126" s="263"/>
      <c r="C126" s="263"/>
      <c r="D126" s="263"/>
      <c r="E126" s="263"/>
      <c r="F126" s="263"/>
      <c r="G126" s="263"/>
      <c r="H126" s="263"/>
      <c r="I126" s="263"/>
      <c r="J126" s="263"/>
      <c r="K126" s="263"/>
      <c r="L126" s="263"/>
      <c r="M126" s="263"/>
      <c r="N126" s="263"/>
      <c r="O126" s="263"/>
      <c r="P126" s="263"/>
    </row>
    <row r="127" spans="1:16" x14ac:dyDescent="0.25">
      <c r="A127" s="263"/>
      <c r="B127" s="263"/>
      <c r="C127" s="263"/>
      <c r="D127" s="263"/>
      <c r="E127" s="263"/>
      <c r="F127" s="263"/>
      <c r="G127" s="263"/>
      <c r="H127" s="263"/>
      <c r="I127" s="263"/>
      <c r="J127" s="263"/>
      <c r="K127" s="263"/>
      <c r="L127" s="263"/>
      <c r="M127" s="263"/>
      <c r="N127" s="263"/>
      <c r="O127" s="263"/>
      <c r="P127" s="263"/>
    </row>
  </sheetData>
  <mergeCells count="1">
    <mergeCell ref="G4:J4"/>
  </mergeCell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
  <sheetViews>
    <sheetView topLeftCell="A1048576" workbookViewId="0">
      <selection activeCell="R56" sqref="R56"/>
    </sheetView>
  </sheetViews>
  <sheetFormatPr defaultRowHeight="15" customHeight="1" zeroHeight="1" x14ac:dyDescent="0.25"/>
  <sheetData>
    <row r="1" hidden="1"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P74"/>
  <sheetViews>
    <sheetView showGridLines="0" zoomScale="80" zoomScaleNormal="80" workbookViewId="0">
      <pane ySplit="5" topLeftCell="A30" activePane="bottomLeft" state="frozen"/>
      <selection activeCell="R56" sqref="R56"/>
      <selection pane="bottomLeft" activeCell="G57" sqref="G57"/>
    </sheetView>
  </sheetViews>
  <sheetFormatPr defaultRowHeight="15" x14ac:dyDescent="0.25"/>
  <cols>
    <col min="1" max="1" width="3.28515625" customWidth="1"/>
    <col min="2" max="2" width="14.28515625" bestFit="1" customWidth="1"/>
    <col min="3" max="3" width="38.28515625" customWidth="1"/>
    <col min="4" max="4" width="8.28515625" bestFit="1" customWidth="1"/>
    <col min="5" max="5" width="14.85546875" bestFit="1" customWidth="1"/>
    <col min="6" max="6" width="52.42578125" bestFit="1" customWidth="1"/>
    <col min="7" max="8" width="13" bestFit="1" customWidth="1"/>
    <col min="9" max="10" width="12.140625" bestFit="1" customWidth="1"/>
    <col min="11" max="11" width="11.28515625" bestFit="1" customWidth="1"/>
    <col min="12" max="15" width="11" bestFit="1" customWidth="1"/>
  </cols>
  <sheetData>
    <row r="1" spans="1:16" x14ac:dyDescent="0.25">
      <c r="A1" s="117"/>
      <c r="B1" s="117"/>
      <c r="C1" s="44"/>
      <c r="D1" s="44"/>
      <c r="E1" s="44"/>
      <c r="F1" s="118"/>
      <c r="G1" s="263"/>
      <c r="H1" s="263"/>
      <c r="I1" s="263"/>
      <c r="J1" s="263"/>
      <c r="K1" s="263"/>
      <c r="L1" s="263"/>
      <c r="M1" s="263"/>
      <c r="N1" s="263"/>
      <c r="O1" s="263"/>
      <c r="P1" s="263"/>
    </row>
    <row r="2" spans="1:16" x14ac:dyDescent="0.25">
      <c r="A2" s="117"/>
      <c r="B2" s="117" t="s">
        <v>0</v>
      </c>
      <c r="C2" s="119" t="str">
        <f ca="1">MID(CELL("filename",A1),FIND("]",CELL("filename",A1))+1,256)</f>
        <v>eC&amp;R-DCC Process Workings</v>
      </c>
      <c r="D2" s="44"/>
      <c r="E2" s="44"/>
      <c r="F2" s="118"/>
      <c r="G2" s="263"/>
      <c r="H2" s="263"/>
      <c r="I2" s="263"/>
      <c r="J2" s="263"/>
      <c r="K2" s="263"/>
      <c r="L2" s="263"/>
      <c r="M2" s="263"/>
      <c r="N2" s="263"/>
      <c r="O2" s="263"/>
      <c r="P2" s="263"/>
    </row>
    <row r="3" spans="1:16" x14ac:dyDescent="0.25">
      <c r="A3" s="117"/>
      <c r="B3" s="117" t="s">
        <v>1</v>
      </c>
      <c r="C3" s="118" t="s">
        <v>324</v>
      </c>
      <c r="D3" s="44"/>
      <c r="E3" s="44"/>
      <c r="F3" s="118"/>
      <c r="G3" s="263"/>
      <c r="H3" s="263"/>
      <c r="I3" s="263"/>
      <c r="J3" s="263"/>
      <c r="K3" s="263"/>
      <c r="L3" s="263"/>
      <c r="M3" s="263"/>
      <c r="N3" s="263"/>
      <c r="O3" s="263"/>
      <c r="P3" s="263"/>
    </row>
    <row r="4" spans="1:16" x14ac:dyDescent="0.25">
      <c r="A4" s="117"/>
      <c r="B4" s="117"/>
      <c r="C4" s="44"/>
      <c r="D4" s="44"/>
      <c r="E4" s="44"/>
      <c r="F4" s="118"/>
      <c r="G4" s="710" t="s">
        <v>83</v>
      </c>
      <c r="H4" s="710"/>
      <c r="I4" s="710"/>
      <c r="J4" s="710"/>
      <c r="K4" s="263"/>
      <c r="L4" s="263"/>
      <c r="M4" s="263"/>
      <c r="N4" s="263"/>
      <c r="O4" s="264"/>
      <c r="P4" s="263"/>
    </row>
    <row r="5" spans="1:16" x14ac:dyDescent="0.25">
      <c r="A5" s="120"/>
      <c r="B5" s="120" t="s">
        <v>27</v>
      </c>
      <c r="C5" s="121" t="s">
        <v>28</v>
      </c>
      <c r="D5" s="121" t="s">
        <v>29</v>
      </c>
      <c r="E5" s="121" t="s">
        <v>130</v>
      </c>
      <c r="F5" s="122" t="s">
        <v>173</v>
      </c>
      <c r="G5" s="19" t="s">
        <v>59</v>
      </c>
      <c r="H5" s="19" t="s">
        <v>62</v>
      </c>
      <c r="I5" s="19" t="s">
        <v>56</v>
      </c>
      <c r="J5" s="19" t="s">
        <v>72</v>
      </c>
      <c r="K5" s="19" t="s">
        <v>46</v>
      </c>
      <c r="L5" s="19" t="s">
        <v>79</v>
      </c>
      <c r="M5" s="19" t="s">
        <v>82</v>
      </c>
      <c r="N5" s="19" t="s">
        <v>81</v>
      </c>
      <c r="O5" s="19" t="s">
        <v>90</v>
      </c>
      <c r="P5" s="263"/>
    </row>
    <row r="6" spans="1:16" x14ac:dyDescent="0.25">
      <c r="A6" s="117"/>
      <c r="B6" s="117"/>
      <c r="C6" s="44"/>
      <c r="D6" s="44"/>
      <c r="E6" s="44"/>
      <c r="F6" s="118"/>
      <c r="G6" s="263"/>
      <c r="H6" s="263"/>
      <c r="I6" s="263"/>
      <c r="J6" s="263"/>
      <c r="K6" s="263"/>
      <c r="L6" s="263"/>
      <c r="M6" s="263"/>
      <c r="N6" s="263"/>
      <c r="O6" s="263"/>
      <c r="P6" s="263"/>
    </row>
    <row r="7" spans="1:16" x14ac:dyDescent="0.25">
      <c r="A7" s="117"/>
      <c r="B7" s="123" t="s">
        <v>174</v>
      </c>
      <c r="C7" s="44" t="s">
        <v>43</v>
      </c>
      <c r="D7" s="44"/>
      <c r="E7" s="44"/>
      <c r="F7" s="118"/>
      <c r="G7" s="130">
        <f>SUMIF($E$11:$E$73,"CAPEX",G11:G73)</f>
        <v>145763.33333333334</v>
      </c>
      <c r="H7" s="130">
        <f t="shared" ref="H7:O7" si="0">SUMIF($E$11:$E$73,"CAPEX",H11:H73)</f>
        <v>147930.00000000003</v>
      </c>
      <c r="I7" s="130">
        <f t="shared" si="0"/>
        <v>145763.33333333334</v>
      </c>
      <c r="J7" s="130">
        <f t="shared" si="0"/>
        <v>145763.33333333334</v>
      </c>
      <c r="K7" s="672">
        <f t="shared" si="0"/>
        <v>0</v>
      </c>
      <c r="L7" s="130">
        <f t="shared" si="0"/>
        <v>0</v>
      </c>
      <c r="M7" s="130">
        <f t="shared" si="0"/>
        <v>131189.97777777779</v>
      </c>
      <c r="N7" s="130">
        <f t="shared" si="0"/>
        <v>12403.582222222223</v>
      </c>
      <c r="O7" s="130">
        <f t="shared" si="0"/>
        <v>59565</v>
      </c>
      <c r="P7" s="263"/>
    </row>
    <row r="8" spans="1:16" x14ac:dyDescent="0.25">
      <c r="A8" s="117"/>
      <c r="B8" s="117"/>
      <c r="C8" s="44" t="s">
        <v>42</v>
      </c>
      <c r="D8" s="44"/>
      <c r="E8" s="44"/>
      <c r="F8" s="118"/>
      <c r="G8" s="130">
        <f t="shared" ref="G8:O8" si="1">SUMIF($E$11:$E$73,"OPEX",G11:G73)/(1+CAPEX_Factor)</f>
        <v>29152.666666666672</v>
      </c>
      <c r="H8" s="130">
        <f t="shared" si="1"/>
        <v>29586.000000000004</v>
      </c>
      <c r="I8" s="130">
        <f t="shared" si="1"/>
        <v>29152.666666666672</v>
      </c>
      <c r="J8" s="130">
        <f t="shared" si="1"/>
        <v>29152.666666666672</v>
      </c>
      <c r="K8" s="672">
        <f t="shared" si="1"/>
        <v>0</v>
      </c>
      <c r="L8" s="130">
        <f t="shared" si="1"/>
        <v>0</v>
      </c>
      <c r="M8" s="130">
        <f t="shared" si="1"/>
        <v>26237.995555555557</v>
      </c>
      <c r="N8" s="130">
        <f t="shared" si="1"/>
        <v>2480.7164444444447</v>
      </c>
      <c r="O8" s="130">
        <f t="shared" si="1"/>
        <v>11913</v>
      </c>
      <c r="P8" s="263"/>
    </row>
    <row r="9" spans="1:16" x14ac:dyDescent="0.25">
      <c r="A9" s="117"/>
      <c r="B9" s="124"/>
      <c r="C9" s="125" t="s">
        <v>175</v>
      </c>
      <c r="D9" s="125"/>
      <c r="E9" s="125"/>
      <c r="F9" s="126"/>
      <c r="G9" s="126"/>
      <c r="H9" s="126"/>
      <c r="I9" s="126"/>
      <c r="J9" s="126"/>
      <c r="K9" s="126"/>
      <c r="L9" s="126"/>
      <c r="M9" s="126"/>
      <c r="N9" s="126"/>
      <c r="O9" s="126"/>
      <c r="P9" s="263"/>
    </row>
    <row r="10" spans="1:16" x14ac:dyDescent="0.25">
      <c r="A10" s="127"/>
      <c r="B10" s="124"/>
      <c r="C10" s="124"/>
      <c r="D10" s="124"/>
      <c r="E10" s="124"/>
      <c r="F10" s="128"/>
      <c r="G10" s="263"/>
      <c r="H10" s="263"/>
      <c r="I10" s="263"/>
      <c r="J10" s="263"/>
      <c r="K10" s="263"/>
      <c r="L10" s="263"/>
      <c r="M10" s="263"/>
      <c r="N10" s="263"/>
      <c r="O10" s="263"/>
      <c r="P10" s="263"/>
    </row>
    <row r="11" spans="1:16" x14ac:dyDescent="0.25">
      <c r="A11" s="117"/>
      <c r="B11" s="124"/>
      <c r="C11" s="44" t="s">
        <v>175</v>
      </c>
      <c r="D11" s="44" t="s">
        <v>51</v>
      </c>
      <c r="E11" s="44" t="s">
        <v>50</v>
      </c>
      <c r="F11" s="118" t="s">
        <v>214</v>
      </c>
      <c r="G11" s="673">
        <f>Inputs_Delivery_Effort!BJ11</f>
        <v>55.440000000000012</v>
      </c>
      <c r="H11" s="673">
        <f>Inputs_Delivery_Effort!BK11</f>
        <v>55.440000000000012</v>
      </c>
      <c r="I11" s="673">
        <f>Inputs_Delivery_Effort!BL11</f>
        <v>55.440000000000012</v>
      </c>
      <c r="J11" s="673">
        <f>Inputs_Delivery_Effort!BM11</f>
        <v>55.440000000000012</v>
      </c>
      <c r="K11" s="673">
        <f>Inputs_Delivery_Effort!BN11</f>
        <v>0</v>
      </c>
      <c r="L11" s="673">
        <f>Inputs_Delivery_Effort!BO11</f>
        <v>0</v>
      </c>
      <c r="M11" s="673">
        <f>Inputs_Delivery_Effort!BP11</f>
        <v>27.720000000000006</v>
      </c>
      <c r="N11" s="673">
        <f>Inputs_Delivery_Effort!BQ11</f>
        <v>3.3000000000000003</v>
      </c>
      <c r="O11" s="673">
        <f>Inputs_Delivery_Effort!BR11</f>
        <v>24.42</v>
      </c>
      <c r="P11" s="263"/>
    </row>
    <row r="12" spans="1:16" x14ac:dyDescent="0.25">
      <c r="A12" s="129"/>
      <c r="B12" s="124"/>
      <c r="C12" s="44" t="s">
        <v>175</v>
      </c>
      <c r="D12" s="44" t="s">
        <v>51</v>
      </c>
      <c r="E12" s="44" t="s">
        <v>50</v>
      </c>
      <c r="F12" s="118" t="s">
        <v>117</v>
      </c>
      <c r="G12" s="674">
        <f>Inputs_Delivery_Effort!BJ13</f>
        <v>2.08</v>
      </c>
      <c r="H12" s="674">
        <f>Inputs_Delivery_Effort!BK13</f>
        <v>2.4800000000000004</v>
      </c>
      <c r="I12" s="674">
        <f>Inputs_Delivery_Effort!BL13</f>
        <v>2.08</v>
      </c>
      <c r="J12" s="674">
        <f>Inputs_Delivery_Effort!BM13</f>
        <v>2.08</v>
      </c>
      <c r="K12" s="674">
        <f>Inputs_Delivery_Effort!BN13</f>
        <v>0</v>
      </c>
      <c r="L12" s="674">
        <f>Inputs_Delivery_Effort!BO13</f>
        <v>0</v>
      </c>
      <c r="M12" s="674">
        <f>Inputs_Delivery_Effort!BP13</f>
        <v>2.08</v>
      </c>
      <c r="N12" s="674">
        <f>Inputs_Delivery_Effort!BQ13</f>
        <v>2.08</v>
      </c>
      <c r="O12" s="674">
        <f>Inputs_Delivery_Effort!BR13</f>
        <v>0</v>
      </c>
      <c r="P12" s="263"/>
    </row>
    <row r="13" spans="1:16" x14ac:dyDescent="0.25">
      <c r="A13" s="117"/>
      <c r="B13" s="124"/>
      <c r="C13" s="44" t="s">
        <v>175</v>
      </c>
      <c r="D13" s="44" t="s">
        <v>48</v>
      </c>
      <c r="E13" s="44" t="s">
        <v>50</v>
      </c>
      <c r="F13" s="118" t="s">
        <v>116</v>
      </c>
      <c r="G13" s="671">
        <f>Inputs_Delivery_Effort!BJ14</f>
        <v>0</v>
      </c>
      <c r="H13" s="671">
        <f>Inputs_Delivery_Effort!BK14</f>
        <v>0</v>
      </c>
      <c r="I13" s="671">
        <f>Inputs_Delivery_Effort!BL14</f>
        <v>0</v>
      </c>
      <c r="J13" s="671">
        <f>Inputs_Delivery_Effort!BM14</f>
        <v>0</v>
      </c>
      <c r="K13" s="671">
        <f>Inputs_Delivery_Effort!BN14</f>
        <v>0</v>
      </c>
      <c r="L13" s="671">
        <f>Inputs_Delivery_Effort!BO14</f>
        <v>0</v>
      </c>
      <c r="M13" s="671">
        <f>Inputs_Delivery_Effort!BP14</f>
        <v>100</v>
      </c>
      <c r="N13" s="671">
        <f>Inputs_Delivery_Effort!BQ14</f>
        <v>5</v>
      </c>
      <c r="O13" s="671">
        <f>Inputs_Delivery_Effort!BR14</f>
        <v>0</v>
      </c>
      <c r="P13" s="263"/>
    </row>
    <row r="14" spans="1:16" x14ac:dyDescent="0.25">
      <c r="A14" s="117"/>
      <c r="B14" s="124"/>
      <c r="C14" s="44" t="s">
        <v>175</v>
      </c>
      <c r="D14" s="44" t="s">
        <v>30</v>
      </c>
      <c r="E14" s="44" t="s">
        <v>50</v>
      </c>
      <c r="F14" s="118" t="s">
        <v>70</v>
      </c>
      <c r="G14" s="112">
        <f>Inputs_CPs!F$11</f>
        <v>142.97777777777776</v>
      </c>
      <c r="H14" s="112">
        <f>Inputs_CPs!G$11</f>
        <v>142.97777777777776</v>
      </c>
      <c r="I14" s="112">
        <f>Inputs_CPs!H$11</f>
        <v>142.97777777777776</v>
      </c>
      <c r="J14" s="112">
        <f>Inputs_CPs!I$11</f>
        <v>142.97777777777776</v>
      </c>
      <c r="K14" s="112">
        <f>Inputs_CPs!N$11</f>
        <v>142.97777777777776</v>
      </c>
      <c r="L14" s="112">
        <f>Inputs_CPs!O$11</f>
        <v>142.97777777777776</v>
      </c>
      <c r="M14" s="112">
        <f>Inputs_CPs!K$11</f>
        <v>142.97777777777776</v>
      </c>
      <c r="N14" s="112">
        <f>Inputs_CPs!L$11</f>
        <v>142.97777777777776</v>
      </c>
      <c r="O14" s="112">
        <f>Inputs_CPs!M$11</f>
        <v>142.97777777777776</v>
      </c>
      <c r="P14" s="263"/>
    </row>
    <row r="15" spans="1:16" x14ac:dyDescent="0.25">
      <c r="A15" s="117"/>
      <c r="B15" s="124"/>
      <c r="C15" s="44" t="s">
        <v>175</v>
      </c>
      <c r="D15" s="44" t="s">
        <v>30</v>
      </c>
      <c r="E15" s="44" t="s">
        <v>43</v>
      </c>
      <c r="F15" s="118"/>
      <c r="G15" s="675">
        <f t="shared" ref="G15:O15" si="2">(G12*G14*G13)+(G11*IT_Consultant_Daily_Rate)</f>
        <v>27720.000000000007</v>
      </c>
      <c r="H15" s="675">
        <f t="shared" si="2"/>
        <v>27720.000000000007</v>
      </c>
      <c r="I15" s="675">
        <f t="shared" si="2"/>
        <v>27720.000000000007</v>
      </c>
      <c r="J15" s="675">
        <f t="shared" si="2"/>
        <v>27720.000000000007</v>
      </c>
      <c r="K15" s="675">
        <f t="shared" si="2"/>
        <v>0</v>
      </c>
      <c r="L15" s="675">
        <f t="shared" si="2"/>
        <v>0</v>
      </c>
      <c r="M15" s="675">
        <f t="shared" si="2"/>
        <v>43599.37777777778</v>
      </c>
      <c r="N15" s="675">
        <f t="shared" si="2"/>
        <v>3136.9688888888891</v>
      </c>
      <c r="O15" s="675">
        <f t="shared" si="2"/>
        <v>12210</v>
      </c>
      <c r="P15" s="263"/>
    </row>
    <row r="16" spans="1:16" x14ac:dyDescent="0.25">
      <c r="A16" s="117"/>
      <c r="B16" s="124"/>
      <c r="C16" s="44"/>
      <c r="D16" s="44"/>
      <c r="E16" s="44"/>
      <c r="F16" s="118"/>
      <c r="G16" s="263"/>
      <c r="H16" s="263"/>
      <c r="I16" s="263"/>
      <c r="J16" s="263"/>
      <c r="K16" s="263"/>
      <c r="L16" s="263"/>
      <c r="M16" s="263"/>
      <c r="N16" s="263"/>
      <c r="O16" s="263"/>
      <c r="P16" s="263"/>
    </row>
    <row r="17" spans="1:16" x14ac:dyDescent="0.25">
      <c r="A17" s="117"/>
      <c r="B17" s="124"/>
      <c r="C17" s="44" t="s">
        <v>175</v>
      </c>
      <c r="D17" s="44" t="s">
        <v>49</v>
      </c>
      <c r="E17" s="44" t="s">
        <v>47</v>
      </c>
      <c r="F17" s="118" t="s">
        <v>118</v>
      </c>
      <c r="G17" s="37">
        <f>Inputs_Delivery_Effort!BJ12</f>
        <v>0.2</v>
      </c>
      <c r="H17" s="37">
        <f>Inputs_Delivery_Effort!BK12</f>
        <v>0.2</v>
      </c>
      <c r="I17" s="37">
        <f>Inputs_Delivery_Effort!BL12</f>
        <v>0.2</v>
      </c>
      <c r="J17" s="37">
        <f>Inputs_Delivery_Effort!BM12</f>
        <v>0.2</v>
      </c>
      <c r="K17" s="37">
        <f>Inputs_Delivery_Effort!BN12</f>
        <v>0.2</v>
      </c>
      <c r="L17" s="37">
        <f>Inputs_Delivery_Effort!BO12</f>
        <v>0.2</v>
      </c>
      <c r="M17" s="37">
        <f>Inputs_Delivery_Effort!BP12</f>
        <v>0.2</v>
      </c>
      <c r="N17" s="37">
        <f>Inputs_Delivery_Effort!BQ12</f>
        <v>0.2</v>
      </c>
      <c r="O17" s="37">
        <f>Inputs_Delivery_Effort!BR12</f>
        <v>0.2</v>
      </c>
      <c r="P17" s="37"/>
    </row>
    <row r="18" spans="1:16" x14ac:dyDescent="0.25">
      <c r="A18" s="117"/>
      <c r="B18" s="124"/>
      <c r="C18" s="44" t="s">
        <v>175</v>
      </c>
      <c r="D18" s="44" t="s">
        <v>30</v>
      </c>
      <c r="E18" s="44" t="s">
        <v>42</v>
      </c>
      <c r="F18" s="118"/>
      <c r="G18" s="675">
        <f>G15*G17</f>
        <v>5544.0000000000018</v>
      </c>
      <c r="H18" s="675">
        <f t="shared" ref="H18:O18" si="3">H15*H17</f>
        <v>5544.0000000000018</v>
      </c>
      <c r="I18" s="675">
        <f t="shared" si="3"/>
        <v>5544.0000000000018</v>
      </c>
      <c r="J18" s="675">
        <f t="shared" si="3"/>
        <v>5544.0000000000018</v>
      </c>
      <c r="K18" s="675">
        <f t="shared" si="3"/>
        <v>0</v>
      </c>
      <c r="L18" s="675">
        <f t="shared" si="3"/>
        <v>0</v>
      </c>
      <c r="M18" s="675">
        <f t="shared" si="3"/>
        <v>8719.8755555555563</v>
      </c>
      <c r="N18" s="675">
        <f t="shared" si="3"/>
        <v>627.39377777777781</v>
      </c>
      <c r="O18" s="675">
        <f t="shared" si="3"/>
        <v>2442</v>
      </c>
      <c r="P18" s="263"/>
    </row>
    <row r="19" spans="1:16" x14ac:dyDescent="0.25">
      <c r="A19" s="117"/>
      <c r="B19" s="124"/>
      <c r="C19" s="44"/>
      <c r="D19" s="44"/>
      <c r="E19" s="44"/>
      <c r="F19" s="118"/>
      <c r="G19" s="263"/>
      <c r="H19" s="263"/>
      <c r="I19" s="263"/>
      <c r="J19" s="263"/>
      <c r="K19" s="263"/>
      <c r="L19" s="263"/>
      <c r="M19" s="263"/>
      <c r="N19" s="263"/>
      <c r="O19" s="263"/>
      <c r="P19" s="263"/>
    </row>
    <row r="20" spans="1:16" x14ac:dyDescent="0.25">
      <c r="A20" s="117"/>
      <c r="B20" s="124"/>
      <c r="C20" s="125" t="s">
        <v>149</v>
      </c>
      <c r="D20" s="125"/>
      <c r="E20" s="125"/>
      <c r="F20" s="126"/>
      <c r="G20" s="126"/>
      <c r="H20" s="126"/>
      <c r="I20" s="126"/>
      <c r="J20" s="126"/>
      <c r="K20" s="126"/>
      <c r="L20" s="126"/>
      <c r="M20" s="126"/>
      <c r="N20" s="126"/>
      <c r="O20" s="126"/>
      <c r="P20" s="263"/>
    </row>
    <row r="21" spans="1:16" x14ac:dyDescent="0.25">
      <c r="A21" s="117"/>
      <c r="B21" s="124"/>
      <c r="C21" s="44"/>
      <c r="D21" s="44"/>
      <c r="E21" s="44"/>
      <c r="F21" s="118" t="str">
        <f>C21&amp;E21</f>
        <v/>
      </c>
      <c r="G21" s="263"/>
      <c r="H21" s="263"/>
      <c r="I21" s="263"/>
      <c r="J21" s="263"/>
      <c r="K21" s="263"/>
      <c r="L21" s="263"/>
      <c r="M21" s="263"/>
      <c r="N21" s="263"/>
      <c r="O21" s="263"/>
      <c r="P21" s="263"/>
    </row>
    <row r="22" spans="1:16" x14ac:dyDescent="0.25">
      <c r="A22" s="117"/>
      <c r="B22" s="124"/>
      <c r="C22" s="44" t="s">
        <v>149</v>
      </c>
      <c r="D22" s="44" t="s">
        <v>51</v>
      </c>
      <c r="E22" s="44" t="s">
        <v>50</v>
      </c>
      <c r="F22" s="118" t="s">
        <v>214</v>
      </c>
      <c r="G22" s="673">
        <f>Inputs_Delivery_Effort!BJ15</f>
        <v>62.040000000000006</v>
      </c>
      <c r="H22" s="673">
        <f>Inputs_Delivery_Effort!BK15</f>
        <v>62.040000000000006</v>
      </c>
      <c r="I22" s="673">
        <f>Inputs_Delivery_Effort!BL15</f>
        <v>62.040000000000006</v>
      </c>
      <c r="J22" s="673">
        <f>Inputs_Delivery_Effort!BM15</f>
        <v>62.040000000000006</v>
      </c>
      <c r="K22" s="673">
        <f>Inputs_Delivery_Effort!BN15</f>
        <v>0</v>
      </c>
      <c r="L22" s="673">
        <f>Inputs_Delivery_Effort!BO15</f>
        <v>0</v>
      </c>
      <c r="M22" s="673">
        <f>Inputs_Delivery_Effort!BP15</f>
        <v>31.020000000000003</v>
      </c>
      <c r="N22" s="673">
        <f>Inputs_Delivery_Effort!BQ15</f>
        <v>3.3000000000000003</v>
      </c>
      <c r="O22" s="673">
        <f>Inputs_Delivery_Effort!BR15</f>
        <v>27.720000000000002</v>
      </c>
      <c r="P22" s="263"/>
    </row>
    <row r="23" spans="1:16" x14ac:dyDescent="0.25">
      <c r="A23" s="129"/>
      <c r="B23" s="124"/>
      <c r="C23" s="44" t="s">
        <v>149</v>
      </c>
      <c r="D23" s="44" t="s">
        <v>51</v>
      </c>
      <c r="E23" s="44" t="s">
        <v>50</v>
      </c>
      <c r="F23" s="118" t="s">
        <v>117</v>
      </c>
      <c r="G23" s="674">
        <f>Inputs_Delivery_Effort!BJ17</f>
        <v>0.96000000000000019</v>
      </c>
      <c r="H23" s="674">
        <f>Inputs_Delivery_Effort!BK17</f>
        <v>1.3600000000000003</v>
      </c>
      <c r="I23" s="674">
        <f>Inputs_Delivery_Effort!BL17</f>
        <v>0.96000000000000019</v>
      </c>
      <c r="J23" s="674">
        <f>Inputs_Delivery_Effort!BM17</f>
        <v>0.96000000000000019</v>
      </c>
      <c r="K23" s="674">
        <f>Inputs_Delivery_Effort!BN17</f>
        <v>0</v>
      </c>
      <c r="L23" s="674">
        <f>Inputs_Delivery_Effort!BO17</f>
        <v>0</v>
      </c>
      <c r="M23" s="674">
        <f>Inputs_Delivery_Effort!BP17</f>
        <v>0.96000000000000019</v>
      </c>
      <c r="N23" s="674">
        <f>Inputs_Delivery_Effort!BQ17</f>
        <v>0.96000000000000019</v>
      </c>
      <c r="O23" s="674">
        <f>Inputs_Delivery_Effort!BR17</f>
        <v>0</v>
      </c>
      <c r="P23" s="263"/>
    </row>
    <row r="24" spans="1:16" x14ac:dyDescent="0.25">
      <c r="A24" s="117"/>
      <c r="B24" s="124"/>
      <c r="C24" s="44" t="s">
        <v>149</v>
      </c>
      <c r="D24" s="44" t="s">
        <v>48</v>
      </c>
      <c r="E24" s="44" t="s">
        <v>50</v>
      </c>
      <c r="F24" s="118" t="s">
        <v>181</v>
      </c>
      <c r="G24" s="671">
        <f>Inputs_Delivery_Effort!BJ18</f>
        <v>0</v>
      </c>
      <c r="H24" s="671">
        <f>Inputs_Delivery_Effort!BK18</f>
        <v>0</v>
      </c>
      <c r="I24" s="671">
        <f>Inputs_Delivery_Effort!BL18</f>
        <v>0</v>
      </c>
      <c r="J24" s="671">
        <f>Inputs_Delivery_Effort!BM18</f>
        <v>0</v>
      </c>
      <c r="K24" s="671">
        <f>Inputs_Delivery_Effort!BN18</f>
        <v>0</v>
      </c>
      <c r="L24" s="671">
        <f>Inputs_Delivery_Effort!BO18</f>
        <v>0</v>
      </c>
      <c r="M24" s="671">
        <f>Inputs_Delivery_Effort!BP18</f>
        <v>100</v>
      </c>
      <c r="N24" s="671">
        <f>Inputs_Delivery_Effort!BQ18</f>
        <v>5</v>
      </c>
      <c r="O24" s="671">
        <f>Inputs_Delivery_Effort!BR18</f>
        <v>0</v>
      </c>
      <c r="P24" s="263"/>
    </row>
    <row r="25" spans="1:16" x14ac:dyDescent="0.25">
      <c r="A25" s="117"/>
      <c r="B25" s="124"/>
      <c r="C25" s="44" t="s">
        <v>149</v>
      </c>
      <c r="D25" s="44" t="s">
        <v>30</v>
      </c>
      <c r="E25" s="44" t="s">
        <v>50</v>
      </c>
      <c r="F25" s="118" t="s">
        <v>70</v>
      </c>
      <c r="G25" s="112">
        <f>Inputs_CPs!F$11</f>
        <v>142.97777777777776</v>
      </c>
      <c r="H25" s="112">
        <f>Inputs_CPs!G$11</f>
        <v>142.97777777777776</v>
      </c>
      <c r="I25" s="112">
        <f>Inputs_CPs!H$11</f>
        <v>142.97777777777776</v>
      </c>
      <c r="J25" s="112">
        <f>Inputs_CPs!I$11</f>
        <v>142.97777777777776</v>
      </c>
      <c r="K25" s="112">
        <f>Inputs_CPs!J$11</f>
        <v>142.97777777777776</v>
      </c>
      <c r="L25" s="112">
        <f>Inputs_CPs!K$11</f>
        <v>142.97777777777776</v>
      </c>
      <c r="M25" s="112">
        <f>Inputs_CPs!L$11</f>
        <v>142.97777777777776</v>
      </c>
      <c r="N25" s="112">
        <f>Inputs_CPs!M$11</f>
        <v>142.97777777777776</v>
      </c>
      <c r="O25" s="112">
        <f>Inputs_CPs!N$11</f>
        <v>142.97777777777776</v>
      </c>
      <c r="P25" s="263"/>
    </row>
    <row r="26" spans="1:16" x14ac:dyDescent="0.25">
      <c r="A26" s="117"/>
      <c r="B26" s="124"/>
      <c r="C26" s="44" t="s">
        <v>149</v>
      </c>
      <c r="D26" s="44" t="s">
        <v>30</v>
      </c>
      <c r="E26" s="44" t="s">
        <v>43</v>
      </c>
      <c r="F26" s="118"/>
      <c r="G26" s="675">
        <f t="shared" ref="G26:O26" si="4">(G23*G25*G24)+(G22*IT_Consultant_Daily_Rate)</f>
        <v>31020.000000000004</v>
      </c>
      <c r="H26" s="675">
        <f t="shared" si="4"/>
        <v>31020.000000000004</v>
      </c>
      <c r="I26" s="675">
        <f t="shared" si="4"/>
        <v>31020.000000000004</v>
      </c>
      <c r="J26" s="675">
        <f t="shared" si="4"/>
        <v>31020.000000000004</v>
      </c>
      <c r="K26" s="675">
        <f t="shared" si="4"/>
        <v>0</v>
      </c>
      <c r="L26" s="675">
        <f t="shared" si="4"/>
        <v>0</v>
      </c>
      <c r="M26" s="675">
        <f t="shared" si="4"/>
        <v>29235.866666666669</v>
      </c>
      <c r="N26" s="675">
        <f t="shared" si="4"/>
        <v>2336.2933333333335</v>
      </c>
      <c r="O26" s="675">
        <f t="shared" si="4"/>
        <v>13860.000000000002</v>
      </c>
      <c r="P26" s="263"/>
    </row>
    <row r="27" spans="1:16" x14ac:dyDescent="0.25">
      <c r="A27" s="117"/>
      <c r="B27" s="124"/>
      <c r="C27" s="44"/>
      <c r="D27" s="44"/>
      <c r="E27" s="44"/>
      <c r="F27" s="118"/>
      <c r="G27" s="263"/>
      <c r="H27" s="263"/>
      <c r="I27" s="263"/>
      <c r="J27" s="263"/>
      <c r="K27" s="263"/>
      <c r="L27" s="263"/>
      <c r="M27" s="263"/>
      <c r="N27" s="263"/>
      <c r="O27" s="263"/>
      <c r="P27" s="263"/>
    </row>
    <row r="28" spans="1:16" x14ac:dyDescent="0.25">
      <c r="A28" s="117"/>
      <c r="B28" s="124"/>
      <c r="C28" s="44" t="s">
        <v>149</v>
      </c>
      <c r="D28" s="44" t="s">
        <v>49</v>
      </c>
      <c r="E28" s="44" t="s">
        <v>47</v>
      </c>
      <c r="F28" s="118" t="s">
        <v>118</v>
      </c>
      <c r="G28" s="37">
        <f>Inputs_Delivery_Effort!BJ16</f>
        <v>0.2</v>
      </c>
      <c r="H28" s="37">
        <f>Inputs_Delivery_Effort!BK16</f>
        <v>0.2</v>
      </c>
      <c r="I28" s="37">
        <f>Inputs_Delivery_Effort!BL16</f>
        <v>0.2</v>
      </c>
      <c r="J28" s="37">
        <f>Inputs_Delivery_Effort!BM16</f>
        <v>0.2</v>
      </c>
      <c r="K28" s="37">
        <f>Inputs_Delivery_Effort!BN16</f>
        <v>0.2</v>
      </c>
      <c r="L28" s="37">
        <f>Inputs_Delivery_Effort!BO16</f>
        <v>0.2</v>
      </c>
      <c r="M28" s="37">
        <f>Inputs_Delivery_Effort!BP16</f>
        <v>0.2</v>
      </c>
      <c r="N28" s="37">
        <f>Inputs_Delivery_Effort!BQ16</f>
        <v>0.2</v>
      </c>
      <c r="O28" s="37">
        <f>Inputs_Delivery_Effort!BR16</f>
        <v>0.2</v>
      </c>
      <c r="P28" s="263"/>
    </row>
    <row r="29" spans="1:16" x14ac:dyDescent="0.25">
      <c r="A29" s="117"/>
      <c r="B29" s="124"/>
      <c r="C29" s="44" t="s">
        <v>149</v>
      </c>
      <c r="D29" s="44" t="s">
        <v>30</v>
      </c>
      <c r="E29" s="44" t="s">
        <v>42</v>
      </c>
      <c r="F29" s="118"/>
      <c r="G29" s="675">
        <f>G26*G28</f>
        <v>6204.0000000000009</v>
      </c>
      <c r="H29" s="675">
        <f t="shared" ref="H29:O29" si="5">H26*H28</f>
        <v>6204.0000000000009</v>
      </c>
      <c r="I29" s="675">
        <f t="shared" si="5"/>
        <v>6204.0000000000009</v>
      </c>
      <c r="J29" s="675">
        <f t="shared" si="5"/>
        <v>6204.0000000000009</v>
      </c>
      <c r="K29" s="675">
        <f t="shared" si="5"/>
        <v>0</v>
      </c>
      <c r="L29" s="675">
        <f t="shared" si="5"/>
        <v>0</v>
      </c>
      <c r="M29" s="675">
        <f t="shared" si="5"/>
        <v>5847.1733333333341</v>
      </c>
      <c r="N29" s="675">
        <f t="shared" si="5"/>
        <v>467.25866666666673</v>
      </c>
      <c r="O29" s="675">
        <f t="shared" si="5"/>
        <v>2772.0000000000005</v>
      </c>
      <c r="P29" s="263"/>
    </row>
    <row r="30" spans="1:16" x14ac:dyDescent="0.25">
      <c r="A30" s="117"/>
      <c r="B30" s="127"/>
      <c r="C30" s="44"/>
      <c r="D30" s="44"/>
      <c r="E30" s="44"/>
      <c r="F30" s="118" t="str">
        <f>C30&amp;E30</f>
        <v/>
      </c>
      <c r="G30" s="264"/>
      <c r="H30" s="264"/>
      <c r="I30" s="264"/>
      <c r="J30" s="264"/>
      <c r="K30" s="264"/>
      <c r="L30" s="264"/>
      <c r="M30" s="264"/>
      <c r="N30" s="264"/>
      <c r="O30" s="264"/>
      <c r="P30" s="263"/>
    </row>
    <row r="31" spans="1:16" x14ac:dyDescent="0.25">
      <c r="A31" s="117"/>
      <c r="B31" s="127"/>
      <c r="C31" s="125" t="s">
        <v>150</v>
      </c>
      <c r="D31" s="125"/>
      <c r="E31" s="125"/>
      <c r="F31" s="126"/>
      <c r="G31" s="126"/>
      <c r="H31" s="126"/>
      <c r="I31" s="126"/>
      <c r="J31" s="126"/>
      <c r="K31" s="126"/>
      <c r="L31" s="126"/>
      <c r="M31" s="126"/>
      <c r="N31" s="126"/>
      <c r="O31" s="126"/>
      <c r="P31" s="263"/>
    </row>
    <row r="32" spans="1:16" x14ac:dyDescent="0.25">
      <c r="A32" s="117"/>
      <c r="B32" s="127"/>
      <c r="C32" s="44"/>
      <c r="D32" s="44"/>
      <c r="E32" s="44"/>
      <c r="F32" s="118"/>
      <c r="G32" s="263"/>
      <c r="H32" s="263"/>
      <c r="I32" s="263"/>
      <c r="J32" s="263"/>
      <c r="K32" s="263"/>
      <c r="L32" s="263"/>
      <c r="M32" s="263"/>
      <c r="N32" s="263"/>
      <c r="O32" s="263"/>
      <c r="P32" s="263"/>
    </row>
    <row r="33" spans="1:16" x14ac:dyDescent="0.25">
      <c r="A33" s="263"/>
      <c r="B33" s="263"/>
      <c r="C33" s="124" t="s">
        <v>150</v>
      </c>
      <c r="D33" s="44" t="s">
        <v>51</v>
      </c>
      <c r="E33" s="44" t="s">
        <v>50</v>
      </c>
      <c r="F33" s="118" t="s">
        <v>214</v>
      </c>
      <c r="G33" s="673">
        <f>Inputs_Delivery_Effort!BJ19</f>
        <v>71.28</v>
      </c>
      <c r="H33" s="673">
        <f>Inputs_Delivery_Effort!BK19</f>
        <v>71.28</v>
      </c>
      <c r="I33" s="673">
        <f>Inputs_Delivery_Effort!BL19</f>
        <v>71.28</v>
      </c>
      <c r="J33" s="673">
        <f>Inputs_Delivery_Effort!BM19</f>
        <v>71.28</v>
      </c>
      <c r="K33" s="673">
        <f>Inputs_Delivery_Effort!BN19</f>
        <v>0</v>
      </c>
      <c r="L33" s="673">
        <f>Inputs_Delivery_Effort!BO19</f>
        <v>0</v>
      </c>
      <c r="M33" s="673">
        <f>Inputs_Delivery_Effort!BP19</f>
        <v>35.64</v>
      </c>
      <c r="N33" s="673">
        <f>Inputs_Delivery_Effort!BQ19</f>
        <v>3.3000000000000003</v>
      </c>
      <c r="O33" s="673">
        <f>Inputs_Delivery_Effort!BR19</f>
        <v>32.340000000000003</v>
      </c>
      <c r="P33" s="263"/>
    </row>
    <row r="34" spans="1:16" x14ac:dyDescent="0.25">
      <c r="A34" s="117"/>
      <c r="B34" s="127"/>
      <c r="C34" s="124" t="s">
        <v>150</v>
      </c>
      <c r="D34" s="44" t="s">
        <v>51</v>
      </c>
      <c r="E34" s="44" t="s">
        <v>50</v>
      </c>
      <c r="F34" s="118" t="s">
        <v>117</v>
      </c>
      <c r="G34" s="674">
        <f>Inputs_Delivery_Effort!BJ21</f>
        <v>2.4800000000000004</v>
      </c>
      <c r="H34" s="674">
        <f>Inputs_Delivery_Effort!BK21</f>
        <v>2.88</v>
      </c>
      <c r="I34" s="674">
        <f>Inputs_Delivery_Effort!BL21</f>
        <v>2.4800000000000004</v>
      </c>
      <c r="J34" s="674">
        <f>Inputs_Delivery_Effort!BM21</f>
        <v>2.4800000000000004</v>
      </c>
      <c r="K34" s="674">
        <f>Inputs_Delivery_Effort!BN21</f>
        <v>0</v>
      </c>
      <c r="L34" s="674">
        <f>Inputs_Delivery_Effort!BO21</f>
        <v>0</v>
      </c>
      <c r="M34" s="674">
        <f>Inputs_Delivery_Effort!BP21</f>
        <v>2.4800000000000004</v>
      </c>
      <c r="N34" s="674">
        <f>Inputs_Delivery_Effort!BQ21</f>
        <v>2.4800000000000004</v>
      </c>
      <c r="O34" s="674">
        <f>Inputs_Delivery_Effort!BR21</f>
        <v>0</v>
      </c>
      <c r="P34" s="263"/>
    </row>
    <row r="35" spans="1:16" x14ac:dyDescent="0.25">
      <c r="A35" s="263"/>
      <c r="B35" s="263"/>
      <c r="C35" s="124" t="s">
        <v>150</v>
      </c>
      <c r="D35" s="263" t="s">
        <v>48</v>
      </c>
      <c r="E35" s="44" t="s">
        <v>50</v>
      </c>
      <c r="F35" s="263" t="s">
        <v>155</v>
      </c>
      <c r="G35" s="671">
        <f>Inputs_Delivery_Effort!BJ22</f>
        <v>15</v>
      </c>
      <c r="H35" s="671">
        <f>Inputs_Delivery_Effort!BK22</f>
        <v>15</v>
      </c>
      <c r="I35" s="671">
        <f>Inputs_Delivery_Effort!BL22</f>
        <v>15</v>
      </c>
      <c r="J35" s="671">
        <f>Inputs_Delivery_Effort!BM22</f>
        <v>15</v>
      </c>
      <c r="K35" s="671">
        <f>Inputs_Delivery_Effort!BN22</f>
        <v>15</v>
      </c>
      <c r="L35" s="671">
        <f>Inputs_Delivery_Effort!BO22</f>
        <v>15</v>
      </c>
      <c r="M35" s="671">
        <f>Inputs_Delivery_Effort!BP22</f>
        <v>3</v>
      </c>
      <c r="N35" s="671">
        <f>Inputs_Delivery_Effort!BQ22</f>
        <v>3</v>
      </c>
      <c r="O35" s="671">
        <f>Inputs_Delivery_Effort!BR22</f>
        <v>3</v>
      </c>
      <c r="P35" s="263"/>
    </row>
    <row r="36" spans="1:16" x14ac:dyDescent="0.25">
      <c r="A36" s="263"/>
      <c r="B36" s="263"/>
      <c r="C36" s="124" t="s">
        <v>150</v>
      </c>
      <c r="D36" s="263" t="s">
        <v>30</v>
      </c>
      <c r="E36" s="44" t="s">
        <v>50</v>
      </c>
      <c r="F36" s="118" t="s">
        <v>260</v>
      </c>
      <c r="G36" s="112">
        <f>Inputs_CPs!F$12</f>
        <v>361.11111111111109</v>
      </c>
      <c r="H36" s="112">
        <f>Inputs_CPs!G$12</f>
        <v>361.11111111111109</v>
      </c>
      <c r="I36" s="112">
        <f>Inputs_CPs!H$12</f>
        <v>361.11111111111109</v>
      </c>
      <c r="J36" s="112">
        <f>Inputs_CPs!I$12</f>
        <v>361.11111111111109</v>
      </c>
      <c r="K36" s="112">
        <f>Inputs_CPs!N$12</f>
        <v>361.11111111111109</v>
      </c>
      <c r="L36" s="112">
        <f>Inputs_CPs!O$12</f>
        <v>361.11111111111109</v>
      </c>
      <c r="M36" s="112">
        <f>Inputs_CPs!K$12</f>
        <v>361.11111111111109</v>
      </c>
      <c r="N36" s="112">
        <f>Inputs_CPs!L$12</f>
        <v>361.11111111111109</v>
      </c>
      <c r="O36" s="112">
        <f>Inputs_CPs!M$12</f>
        <v>361.11111111111109</v>
      </c>
      <c r="P36" s="263"/>
    </row>
    <row r="37" spans="1:16" x14ac:dyDescent="0.25">
      <c r="A37" s="263"/>
      <c r="B37" s="263"/>
      <c r="C37" s="124" t="s">
        <v>150</v>
      </c>
      <c r="D37" s="263" t="s">
        <v>30</v>
      </c>
      <c r="E37" s="44" t="s">
        <v>43</v>
      </c>
      <c r="F37" s="263"/>
      <c r="G37" s="675">
        <f t="shared" ref="G37:O37" si="6">(G34*G36*G35)+(G33*IT_Consultant_Daily_Rate)</f>
        <v>49073.333333333336</v>
      </c>
      <c r="H37" s="675">
        <f t="shared" si="6"/>
        <v>51240</v>
      </c>
      <c r="I37" s="675">
        <f t="shared" si="6"/>
        <v>49073.333333333336</v>
      </c>
      <c r="J37" s="675">
        <f t="shared" si="6"/>
        <v>49073.333333333336</v>
      </c>
      <c r="K37" s="675">
        <f t="shared" si="6"/>
        <v>0</v>
      </c>
      <c r="L37" s="675">
        <f t="shared" si="6"/>
        <v>0</v>
      </c>
      <c r="M37" s="675">
        <f t="shared" si="6"/>
        <v>20506.666666666668</v>
      </c>
      <c r="N37" s="675">
        <f t="shared" si="6"/>
        <v>4336.666666666667</v>
      </c>
      <c r="O37" s="675">
        <f t="shared" si="6"/>
        <v>16170.000000000002</v>
      </c>
      <c r="P37" s="263"/>
    </row>
    <row r="38" spans="1:16" x14ac:dyDescent="0.25">
      <c r="A38" s="117"/>
      <c r="B38" s="124"/>
      <c r="C38" s="44"/>
      <c r="D38" s="44"/>
      <c r="E38" s="44"/>
      <c r="F38" s="118"/>
      <c r="G38" s="263"/>
      <c r="H38" s="263"/>
      <c r="I38" s="263"/>
      <c r="J38" s="263"/>
      <c r="K38" s="263"/>
      <c r="L38" s="263"/>
      <c r="M38" s="263"/>
      <c r="N38" s="263"/>
      <c r="O38" s="263"/>
      <c r="P38" s="263"/>
    </row>
    <row r="39" spans="1:16" x14ac:dyDescent="0.25">
      <c r="A39" s="117"/>
      <c r="B39" s="124"/>
      <c r="C39" s="124" t="s">
        <v>150</v>
      </c>
      <c r="D39" s="44" t="s">
        <v>49</v>
      </c>
      <c r="E39" s="44" t="s">
        <v>47</v>
      </c>
      <c r="F39" s="118" t="s">
        <v>118</v>
      </c>
      <c r="G39" s="37">
        <f>Inputs_Delivery_Effort!BJ20</f>
        <v>0.2</v>
      </c>
      <c r="H39" s="37">
        <f>Inputs_Delivery_Effort!BK20</f>
        <v>0.2</v>
      </c>
      <c r="I39" s="37">
        <f>Inputs_Delivery_Effort!BL20</f>
        <v>0.2</v>
      </c>
      <c r="J39" s="37">
        <f>Inputs_Delivery_Effort!BM20</f>
        <v>0.2</v>
      </c>
      <c r="K39" s="37">
        <f>Inputs_Delivery_Effort!BN20</f>
        <v>0.2</v>
      </c>
      <c r="L39" s="37">
        <f>Inputs_Delivery_Effort!BO20</f>
        <v>0.2</v>
      </c>
      <c r="M39" s="37">
        <f>Inputs_Delivery_Effort!BP20</f>
        <v>0.2</v>
      </c>
      <c r="N39" s="37">
        <f>Inputs_Delivery_Effort!BQ20</f>
        <v>0.2</v>
      </c>
      <c r="O39" s="37">
        <f>Inputs_Delivery_Effort!BR20</f>
        <v>0.2</v>
      </c>
      <c r="P39" s="263"/>
    </row>
    <row r="40" spans="1:16" x14ac:dyDescent="0.25">
      <c r="A40" s="117"/>
      <c r="B40" s="124"/>
      <c r="C40" s="124" t="s">
        <v>150</v>
      </c>
      <c r="D40" s="44" t="s">
        <v>30</v>
      </c>
      <c r="E40" s="44" t="s">
        <v>42</v>
      </c>
      <c r="F40" s="118"/>
      <c r="G40" s="675">
        <f>G37*G39</f>
        <v>9814.6666666666679</v>
      </c>
      <c r="H40" s="675">
        <f t="shared" ref="H40:O40" si="7">H37*H39</f>
        <v>10248</v>
      </c>
      <c r="I40" s="675">
        <f t="shared" si="7"/>
        <v>9814.6666666666679</v>
      </c>
      <c r="J40" s="675">
        <f t="shared" si="7"/>
        <v>9814.6666666666679</v>
      </c>
      <c r="K40" s="675">
        <f t="shared" si="7"/>
        <v>0</v>
      </c>
      <c r="L40" s="675">
        <f t="shared" si="7"/>
        <v>0</v>
      </c>
      <c r="M40" s="675">
        <f t="shared" si="7"/>
        <v>4101.3333333333339</v>
      </c>
      <c r="N40" s="675">
        <f t="shared" si="7"/>
        <v>867.33333333333348</v>
      </c>
      <c r="O40" s="675">
        <f t="shared" si="7"/>
        <v>3234.0000000000005</v>
      </c>
      <c r="P40" s="263"/>
    </row>
    <row r="41" spans="1:16" x14ac:dyDescent="0.25">
      <c r="A41" s="117"/>
      <c r="B41" s="124"/>
      <c r="C41" s="44"/>
      <c r="D41" s="44"/>
      <c r="E41" s="44"/>
      <c r="F41" s="118"/>
      <c r="G41" s="263"/>
      <c r="H41" s="263"/>
      <c r="I41" s="263"/>
      <c r="J41" s="263"/>
      <c r="K41" s="263"/>
      <c r="L41" s="263"/>
      <c r="M41" s="263"/>
      <c r="N41" s="263"/>
      <c r="O41" s="263"/>
      <c r="P41" s="263"/>
    </row>
    <row r="42" spans="1:16" x14ac:dyDescent="0.25">
      <c r="A42" s="263"/>
      <c r="B42" s="263"/>
      <c r="C42" s="125" t="s">
        <v>139</v>
      </c>
      <c r="D42" s="125"/>
      <c r="E42" s="125"/>
      <c r="F42" s="126"/>
      <c r="G42" s="126"/>
      <c r="H42" s="126"/>
      <c r="I42" s="126"/>
      <c r="J42" s="126"/>
      <c r="K42" s="126"/>
      <c r="L42" s="126"/>
      <c r="M42" s="126"/>
      <c r="N42" s="126"/>
      <c r="O42" s="126"/>
      <c r="P42" s="263"/>
    </row>
    <row r="43" spans="1:16" x14ac:dyDescent="0.25">
      <c r="A43" s="263"/>
      <c r="B43" s="263"/>
      <c r="C43" s="263"/>
      <c r="D43" s="263"/>
      <c r="E43" s="263"/>
      <c r="F43" s="263"/>
      <c r="G43" s="263"/>
      <c r="H43" s="263"/>
      <c r="I43" s="263"/>
      <c r="J43" s="263"/>
      <c r="K43" s="263"/>
      <c r="L43" s="263"/>
      <c r="M43" s="263"/>
      <c r="N43" s="263"/>
      <c r="O43" s="263"/>
      <c r="P43" s="263"/>
    </row>
    <row r="44" spans="1:16" x14ac:dyDescent="0.25">
      <c r="A44" s="263"/>
      <c r="B44" s="263"/>
      <c r="C44" s="263" t="s">
        <v>139</v>
      </c>
      <c r="D44" s="44" t="s">
        <v>51</v>
      </c>
      <c r="E44" s="44" t="s">
        <v>50</v>
      </c>
      <c r="F44" s="118" t="s">
        <v>214</v>
      </c>
      <c r="G44" s="673">
        <f>Inputs_Delivery_Effort!BJ23</f>
        <v>54.120000000000005</v>
      </c>
      <c r="H44" s="673">
        <f>Inputs_Delivery_Effort!BK23</f>
        <v>54.120000000000005</v>
      </c>
      <c r="I44" s="673">
        <f>Inputs_Delivery_Effort!BL23</f>
        <v>54.120000000000005</v>
      </c>
      <c r="J44" s="673">
        <f>Inputs_Delivery_Effort!BM23</f>
        <v>54.120000000000005</v>
      </c>
      <c r="K44" s="673">
        <f>Inputs_Delivery_Effort!BN23</f>
        <v>0</v>
      </c>
      <c r="L44" s="673">
        <f>Inputs_Delivery_Effort!BO23</f>
        <v>0</v>
      </c>
      <c r="M44" s="673">
        <f>Inputs_Delivery_Effort!BP23</f>
        <v>27.060000000000002</v>
      </c>
      <c r="N44" s="673">
        <f>Inputs_Delivery_Effort!BQ23</f>
        <v>3.3000000000000003</v>
      </c>
      <c r="O44" s="673">
        <f>Inputs_Delivery_Effort!BR23</f>
        <v>23.760000000000005</v>
      </c>
      <c r="P44" s="263"/>
    </row>
    <row r="45" spans="1:16" x14ac:dyDescent="0.25">
      <c r="A45" s="263"/>
      <c r="B45" s="263"/>
      <c r="C45" s="263" t="s">
        <v>139</v>
      </c>
      <c r="D45" s="263" t="s">
        <v>51</v>
      </c>
      <c r="E45" s="263" t="s">
        <v>50</v>
      </c>
      <c r="F45" s="263" t="s">
        <v>117</v>
      </c>
      <c r="G45" s="674">
        <f>Inputs_Delivery_Effort!BJ25</f>
        <v>0.96000000000000019</v>
      </c>
      <c r="H45" s="674">
        <f>Inputs_Delivery_Effort!BK25</f>
        <v>1.3600000000000003</v>
      </c>
      <c r="I45" s="674">
        <f>Inputs_Delivery_Effort!BL25</f>
        <v>0.96000000000000019</v>
      </c>
      <c r="J45" s="674">
        <f>Inputs_Delivery_Effort!BM25</f>
        <v>0.96000000000000019</v>
      </c>
      <c r="K45" s="674">
        <f>Inputs_Delivery_Effort!BN25</f>
        <v>0</v>
      </c>
      <c r="L45" s="674">
        <f>Inputs_Delivery_Effort!BO25</f>
        <v>0</v>
      </c>
      <c r="M45" s="674">
        <f>Inputs_Delivery_Effort!BP25</f>
        <v>0.96000000000000019</v>
      </c>
      <c r="N45" s="674">
        <f>Inputs_Delivery_Effort!BQ25</f>
        <v>0.96000000000000019</v>
      </c>
      <c r="O45" s="674">
        <f>Inputs_Delivery_Effort!BR25</f>
        <v>0</v>
      </c>
      <c r="P45" s="263"/>
    </row>
    <row r="46" spans="1:16" x14ac:dyDescent="0.25">
      <c r="A46" s="263"/>
      <c r="B46" s="263"/>
      <c r="C46" s="263" t="s">
        <v>139</v>
      </c>
      <c r="D46" s="263" t="s">
        <v>48</v>
      </c>
      <c r="E46" s="263" t="s">
        <v>50</v>
      </c>
      <c r="F46" s="263" t="s">
        <v>153</v>
      </c>
      <c r="G46" s="671">
        <f>Inputs_Delivery_Effort!BJ26</f>
        <v>0</v>
      </c>
      <c r="H46" s="671">
        <f>Inputs_Delivery_Effort!BK26</f>
        <v>0</v>
      </c>
      <c r="I46" s="671">
        <f>Inputs_Delivery_Effort!BL26</f>
        <v>0</v>
      </c>
      <c r="J46" s="671">
        <f>Inputs_Delivery_Effort!BM26</f>
        <v>0</v>
      </c>
      <c r="K46" s="671">
        <f>Inputs_Delivery_Effort!BN26</f>
        <v>0</v>
      </c>
      <c r="L46" s="671">
        <f>Inputs_Delivery_Effort!BO26</f>
        <v>0</v>
      </c>
      <c r="M46" s="671">
        <f>Inputs_Delivery_Effort!BP26</f>
        <v>100</v>
      </c>
      <c r="N46" s="671">
        <f>Inputs_Delivery_Effort!BQ26</f>
        <v>5</v>
      </c>
      <c r="O46" s="671">
        <f>Inputs_Delivery_Effort!BR26</f>
        <v>0</v>
      </c>
      <c r="P46" s="263"/>
    </row>
    <row r="47" spans="1:16" x14ac:dyDescent="0.25">
      <c r="A47" s="263"/>
      <c r="B47" s="263"/>
      <c r="C47" s="263" t="s">
        <v>139</v>
      </c>
      <c r="D47" s="263" t="s">
        <v>30</v>
      </c>
      <c r="E47" s="263" t="s">
        <v>50</v>
      </c>
      <c r="F47" s="118" t="s">
        <v>70</v>
      </c>
      <c r="G47" s="112">
        <f>Inputs_CPs!F$11</f>
        <v>142.97777777777776</v>
      </c>
      <c r="H47" s="112">
        <f>Inputs_CPs!G$11</f>
        <v>142.97777777777776</v>
      </c>
      <c r="I47" s="112">
        <f>Inputs_CPs!H$11</f>
        <v>142.97777777777776</v>
      </c>
      <c r="J47" s="112">
        <f>Inputs_CPs!I$11</f>
        <v>142.97777777777776</v>
      </c>
      <c r="K47" s="112">
        <f>Inputs_CPs!N$11</f>
        <v>142.97777777777776</v>
      </c>
      <c r="L47" s="112">
        <f>Inputs_CPs!O$11</f>
        <v>142.97777777777776</v>
      </c>
      <c r="M47" s="112">
        <f>Inputs_CPs!K$11</f>
        <v>142.97777777777776</v>
      </c>
      <c r="N47" s="112">
        <f>Inputs_CPs!L$11</f>
        <v>142.97777777777776</v>
      </c>
      <c r="O47" s="112">
        <f>Inputs_CPs!M$11</f>
        <v>142.97777777777776</v>
      </c>
      <c r="P47" s="263"/>
    </row>
    <row r="48" spans="1:16" x14ac:dyDescent="0.25">
      <c r="A48" s="263"/>
      <c r="B48" s="263"/>
      <c r="C48" s="263" t="s">
        <v>139</v>
      </c>
      <c r="D48" s="263" t="s">
        <v>30</v>
      </c>
      <c r="E48" s="263" t="s">
        <v>43</v>
      </c>
      <c r="F48" s="263"/>
      <c r="G48" s="675">
        <f t="shared" ref="G48:O48" si="8">(G45*G47*G46)+(G44*IT_Consultant_Daily_Rate)</f>
        <v>27060.000000000004</v>
      </c>
      <c r="H48" s="675">
        <f t="shared" si="8"/>
        <v>27060.000000000004</v>
      </c>
      <c r="I48" s="675">
        <f t="shared" si="8"/>
        <v>27060.000000000004</v>
      </c>
      <c r="J48" s="675">
        <f t="shared" si="8"/>
        <v>27060.000000000004</v>
      </c>
      <c r="K48" s="675">
        <f t="shared" si="8"/>
        <v>0</v>
      </c>
      <c r="L48" s="675">
        <f t="shared" si="8"/>
        <v>0</v>
      </c>
      <c r="M48" s="675">
        <f t="shared" si="8"/>
        <v>27255.866666666669</v>
      </c>
      <c r="N48" s="675">
        <f t="shared" si="8"/>
        <v>2336.2933333333335</v>
      </c>
      <c r="O48" s="675">
        <f t="shared" si="8"/>
        <v>11880.000000000002</v>
      </c>
      <c r="P48" s="263"/>
    </row>
    <row r="49" spans="1:16" x14ac:dyDescent="0.25">
      <c r="A49" s="117"/>
      <c r="B49" s="124"/>
      <c r="C49" s="44"/>
      <c r="D49" s="44"/>
      <c r="E49" s="44"/>
      <c r="F49" s="118"/>
      <c r="G49" s="263"/>
      <c r="H49" s="263"/>
      <c r="I49" s="263"/>
      <c r="J49" s="263"/>
      <c r="K49" s="263"/>
      <c r="L49" s="263"/>
      <c r="M49" s="263"/>
      <c r="N49" s="263"/>
      <c r="O49" s="263"/>
      <c r="P49" s="263"/>
    </row>
    <row r="50" spans="1:16" x14ac:dyDescent="0.25">
      <c r="A50" s="117"/>
      <c r="B50" s="124"/>
      <c r="C50" s="263" t="s">
        <v>139</v>
      </c>
      <c r="D50" s="44" t="s">
        <v>49</v>
      </c>
      <c r="E50" s="44" t="s">
        <v>47</v>
      </c>
      <c r="F50" s="118" t="s">
        <v>118</v>
      </c>
      <c r="G50" s="37">
        <f>Inputs_Delivery_Effort!BJ24</f>
        <v>0.2</v>
      </c>
      <c r="H50" s="37">
        <f>Inputs_Delivery_Effort!BK24</f>
        <v>0.2</v>
      </c>
      <c r="I50" s="37">
        <f>Inputs_Delivery_Effort!BL24</f>
        <v>0.2</v>
      </c>
      <c r="J50" s="37">
        <f>Inputs_Delivery_Effort!BM24</f>
        <v>0.2</v>
      </c>
      <c r="K50" s="37">
        <f>Inputs_Delivery_Effort!BN24</f>
        <v>0.2</v>
      </c>
      <c r="L50" s="37">
        <f>Inputs_Delivery_Effort!BO24</f>
        <v>0.2</v>
      </c>
      <c r="M50" s="37">
        <f>Inputs_Delivery_Effort!BP24</f>
        <v>0.2</v>
      </c>
      <c r="N50" s="37">
        <f>Inputs_Delivery_Effort!BQ24</f>
        <v>0.2</v>
      </c>
      <c r="O50" s="37">
        <f>Inputs_Delivery_Effort!BR24</f>
        <v>0.2</v>
      </c>
      <c r="P50" s="263"/>
    </row>
    <row r="51" spans="1:16" x14ac:dyDescent="0.25">
      <c r="A51" s="117"/>
      <c r="B51" s="124"/>
      <c r="C51" s="263" t="s">
        <v>139</v>
      </c>
      <c r="D51" s="44" t="s">
        <v>30</v>
      </c>
      <c r="E51" s="44" t="s">
        <v>42</v>
      </c>
      <c r="F51" s="118"/>
      <c r="G51" s="675">
        <f>G48*G50</f>
        <v>5412.0000000000009</v>
      </c>
      <c r="H51" s="675">
        <f t="shared" ref="H51:O51" si="9">H48*H50</f>
        <v>5412.0000000000009</v>
      </c>
      <c r="I51" s="675">
        <f t="shared" si="9"/>
        <v>5412.0000000000009</v>
      </c>
      <c r="J51" s="675">
        <f t="shared" si="9"/>
        <v>5412.0000000000009</v>
      </c>
      <c r="K51" s="675">
        <f t="shared" si="9"/>
        <v>0</v>
      </c>
      <c r="L51" s="675">
        <f t="shared" si="9"/>
        <v>0</v>
      </c>
      <c r="M51" s="675">
        <f t="shared" si="9"/>
        <v>5451.1733333333341</v>
      </c>
      <c r="N51" s="675">
        <f t="shared" si="9"/>
        <v>467.25866666666673</v>
      </c>
      <c r="O51" s="675">
        <f t="shared" si="9"/>
        <v>2376.0000000000005</v>
      </c>
      <c r="P51" s="263"/>
    </row>
    <row r="52" spans="1:16" x14ac:dyDescent="0.25">
      <c r="A52" s="263"/>
      <c r="B52" s="263"/>
      <c r="C52" s="263"/>
      <c r="D52" s="263"/>
      <c r="E52" s="263"/>
      <c r="F52" s="263"/>
      <c r="G52" s="263"/>
      <c r="H52" s="263"/>
      <c r="I52" s="263"/>
      <c r="J52" s="263"/>
      <c r="K52" s="263"/>
      <c r="L52" s="263"/>
      <c r="M52" s="263"/>
      <c r="N52" s="263"/>
      <c r="O52" s="263"/>
      <c r="P52" s="263"/>
    </row>
    <row r="53" spans="1:16" x14ac:dyDescent="0.25">
      <c r="A53" s="263"/>
      <c r="B53" s="263"/>
      <c r="C53" s="125" t="s">
        <v>166</v>
      </c>
      <c r="D53" s="125"/>
      <c r="E53" s="125"/>
      <c r="F53" s="126"/>
      <c r="G53" s="126"/>
      <c r="H53" s="126"/>
      <c r="I53" s="126"/>
      <c r="J53" s="126"/>
      <c r="K53" s="126"/>
      <c r="L53" s="126"/>
      <c r="M53" s="126"/>
      <c r="N53" s="126"/>
      <c r="O53" s="126"/>
      <c r="P53" s="263"/>
    </row>
    <row r="54" spans="1:16" x14ac:dyDescent="0.25">
      <c r="A54" s="263"/>
      <c r="B54" s="263"/>
      <c r="C54" s="263"/>
      <c r="D54" s="263"/>
      <c r="E54" s="263"/>
      <c r="F54" s="263"/>
      <c r="G54" s="263"/>
      <c r="H54" s="263"/>
      <c r="I54" s="263"/>
      <c r="J54" s="263"/>
      <c r="K54" s="263"/>
      <c r="L54" s="263"/>
      <c r="M54" s="263"/>
      <c r="N54" s="263"/>
      <c r="O54" s="263"/>
      <c r="P54" s="263"/>
    </row>
    <row r="55" spans="1:16" x14ac:dyDescent="0.25">
      <c r="A55" s="263"/>
      <c r="B55" s="263"/>
      <c r="C55" s="263" t="s">
        <v>166</v>
      </c>
      <c r="D55" s="44" t="s">
        <v>51</v>
      </c>
      <c r="E55" s="44" t="s">
        <v>50</v>
      </c>
      <c r="F55" s="118" t="s">
        <v>214</v>
      </c>
      <c r="G55" s="673">
        <f>Inputs_Delivery_Effort!BJ27</f>
        <v>18.48</v>
      </c>
      <c r="H55" s="673">
        <f>Inputs_Delivery_Effort!BK27</f>
        <v>18.48</v>
      </c>
      <c r="I55" s="673">
        <f>Inputs_Delivery_Effort!BL27</f>
        <v>18.48</v>
      </c>
      <c r="J55" s="673">
        <f>Inputs_Delivery_Effort!BM27</f>
        <v>18.48</v>
      </c>
      <c r="K55" s="673">
        <f>Inputs_Delivery_Effort!BN27</f>
        <v>0</v>
      </c>
      <c r="L55" s="673">
        <f>Inputs_Delivery_Effort!BO27</f>
        <v>0</v>
      </c>
      <c r="M55" s="673">
        <f>Inputs_Delivery_Effort!BP27</f>
        <v>9.24</v>
      </c>
      <c r="N55" s="673">
        <f>Inputs_Delivery_Effort!BQ27</f>
        <v>0</v>
      </c>
      <c r="O55" s="673">
        <f>Inputs_Delivery_Effort!BR27</f>
        <v>9.24</v>
      </c>
      <c r="P55" s="263"/>
    </row>
    <row r="56" spans="1:16" x14ac:dyDescent="0.25">
      <c r="A56" s="263"/>
      <c r="B56" s="263"/>
      <c r="C56" s="263" t="s">
        <v>166</v>
      </c>
      <c r="D56" s="263" t="s">
        <v>51</v>
      </c>
      <c r="E56" s="263" t="s">
        <v>50</v>
      </c>
      <c r="F56" s="263" t="s">
        <v>117</v>
      </c>
      <c r="G56" s="674">
        <f>Inputs_Delivery_Effort!BJ29</f>
        <v>0.16000000000000003</v>
      </c>
      <c r="H56" s="674">
        <f>Inputs_Delivery_Effort!BK29</f>
        <v>0.16000000000000003</v>
      </c>
      <c r="I56" s="674">
        <f>Inputs_Delivery_Effort!BL29</f>
        <v>0.16000000000000003</v>
      </c>
      <c r="J56" s="674">
        <f>Inputs_Delivery_Effort!BM29</f>
        <v>0.16000000000000003</v>
      </c>
      <c r="K56" s="674">
        <f>Inputs_Delivery_Effort!BN29</f>
        <v>0</v>
      </c>
      <c r="L56" s="674">
        <f>Inputs_Delivery_Effort!BO29</f>
        <v>0</v>
      </c>
      <c r="M56" s="674">
        <f>Inputs_Delivery_Effort!BP29</f>
        <v>0.16000000000000003</v>
      </c>
      <c r="N56" s="674">
        <f>Inputs_Delivery_Effort!BQ29</f>
        <v>0.16000000000000003</v>
      </c>
      <c r="O56" s="674">
        <f>Inputs_Delivery_Effort!BR29</f>
        <v>0</v>
      </c>
      <c r="P56" s="263"/>
    </row>
    <row r="57" spans="1:16" x14ac:dyDescent="0.25">
      <c r="A57" s="263"/>
      <c r="B57" s="263"/>
      <c r="C57" s="263" t="s">
        <v>166</v>
      </c>
      <c r="D57" s="263" t="s">
        <v>48</v>
      </c>
      <c r="E57" s="263" t="s">
        <v>50</v>
      </c>
      <c r="F57" s="263" t="s">
        <v>167</v>
      </c>
      <c r="G57" s="671">
        <f>Inputs_Delivery_Effort!BJ30</f>
        <v>0</v>
      </c>
      <c r="H57" s="671">
        <f>Inputs_Delivery_Effort!BK30</f>
        <v>0</v>
      </c>
      <c r="I57" s="671">
        <f>Inputs_Delivery_Effort!BL30</f>
        <v>0</v>
      </c>
      <c r="J57" s="671">
        <f>Inputs_Delivery_Effort!BM30</f>
        <v>0</v>
      </c>
      <c r="K57" s="671">
        <f>Inputs_Delivery_Effort!BN30</f>
        <v>0</v>
      </c>
      <c r="L57" s="671">
        <f>Inputs_Delivery_Effort!BO30</f>
        <v>0</v>
      </c>
      <c r="M57" s="671">
        <f>Inputs_Delivery_Effort!BP30</f>
        <v>100</v>
      </c>
      <c r="N57" s="671">
        <f>Inputs_Delivery_Effort!BQ30</f>
        <v>5</v>
      </c>
      <c r="O57" s="671">
        <f>Inputs_Delivery_Effort!BR30</f>
        <v>0</v>
      </c>
      <c r="P57" s="263"/>
    </row>
    <row r="58" spans="1:16" x14ac:dyDescent="0.25">
      <c r="A58" s="263"/>
      <c r="B58" s="263"/>
      <c r="C58" s="263" t="s">
        <v>166</v>
      </c>
      <c r="D58" s="263" t="s">
        <v>30</v>
      </c>
      <c r="E58" s="263" t="s">
        <v>50</v>
      </c>
      <c r="F58" s="118" t="s">
        <v>70</v>
      </c>
      <c r="G58" s="112">
        <f>Inputs_CPs!F$11</f>
        <v>142.97777777777776</v>
      </c>
      <c r="H58" s="112">
        <f>Inputs_CPs!G$11</f>
        <v>142.97777777777776</v>
      </c>
      <c r="I58" s="112">
        <f>Inputs_CPs!H$11</f>
        <v>142.97777777777776</v>
      </c>
      <c r="J58" s="112">
        <f>Inputs_CPs!I$11</f>
        <v>142.97777777777776</v>
      </c>
      <c r="K58" s="112">
        <f>Inputs_CPs!N$11</f>
        <v>142.97777777777776</v>
      </c>
      <c r="L58" s="112">
        <f>Inputs_CPs!O$11</f>
        <v>142.97777777777776</v>
      </c>
      <c r="M58" s="112">
        <f>Inputs_CPs!K$11</f>
        <v>142.97777777777776</v>
      </c>
      <c r="N58" s="112">
        <f>Inputs_CPs!L$11</f>
        <v>142.97777777777776</v>
      </c>
      <c r="O58" s="112">
        <f>Inputs_CPs!M$11</f>
        <v>142.97777777777776</v>
      </c>
      <c r="P58" s="263"/>
    </row>
    <row r="59" spans="1:16" x14ac:dyDescent="0.25">
      <c r="A59" s="263"/>
      <c r="B59" s="263"/>
      <c r="C59" s="263" t="s">
        <v>166</v>
      </c>
      <c r="D59" s="263" t="s">
        <v>30</v>
      </c>
      <c r="E59" s="263" t="s">
        <v>43</v>
      </c>
      <c r="F59" s="263"/>
      <c r="G59" s="675">
        <f t="shared" ref="G59:O59" si="10">(G56*G58*G57)+(G55*IT_Consultant_Daily_Rate)</f>
        <v>9240</v>
      </c>
      <c r="H59" s="675">
        <f t="shared" si="10"/>
        <v>9240</v>
      </c>
      <c r="I59" s="675">
        <f t="shared" si="10"/>
        <v>9240</v>
      </c>
      <c r="J59" s="675">
        <f t="shared" si="10"/>
        <v>9240</v>
      </c>
      <c r="K59" s="675">
        <f t="shared" si="10"/>
        <v>0</v>
      </c>
      <c r="L59" s="675">
        <f t="shared" si="10"/>
        <v>0</v>
      </c>
      <c r="M59" s="675">
        <f t="shared" si="10"/>
        <v>6907.6444444444442</v>
      </c>
      <c r="N59" s="675">
        <f t="shared" si="10"/>
        <v>114.38222222222223</v>
      </c>
      <c r="O59" s="675">
        <f t="shared" si="10"/>
        <v>4620</v>
      </c>
      <c r="P59" s="263"/>
    </row>
    <row r="60" spans="1:16" x14ac:dyDescent="0.25">
      <c r="A60" s="263"/>
      <c r="B60" s="263"/>
      <c r="C60" s="263"/>
      <c r="D60" s="263"/>
      <c r="E60" s="263"/>
      <c r="F60" s="263"/>
      <c r="G60" s="263"/>
      <c r="H60" s="263"/>
      <c r="I60" s="263"/>
      <c r="J60" s="263"/>
      <c r="K60" s="263"/>
      <c r="L60" s="263"/>
      <c r="M60" s="263"/>
      <c r="N60" s="263"/>
      <c r="O60" s="263"/>
      <c r="P60" s="264"/>
    </row>
    <row r="61" spans="1:16" x14ac:dyDescent="0.25">
      <c r="A61" s="117"/>
      <c r="B61" s="124"/>
      <c r="C61" s="263" t="s">
        <v>166</v>
      </c>
      <c r="D61" s="44" t="s">
        <v>49</v>
      </c>
      <c r="E61" s="44" t="s">
        <v>47</v>
      </c>
      <c r="F61" s="118" t="s">
        <v>118</v>
      </c>
      <c r="G61" s="37">
        <f>Inputs_Delivery_Effort!BJ28</f>
        <v>0.2</v>
      </c>
      <c r="H61" s="37">
        <f>Inputs_Delivery_Effort!BK28</f>
        <v>0.2</v>
      </c>
      <c r="I61" s="37">
        <f>Inputs_Delivery_Effort!BL28</f>
        <v>0.2</v>
      </c>
      <c r="J61" s="37">
        <f>Inputs_Delivery_Effort!BM28</f>
        <v>0.2</v>
      </c>
      <c r="K61" s="37">
        <f>Inputs_Delivery_Effort!BN28</f>
        <v>0.2</v>
      </c>
      <c r="L61" s="37">
        <f>Inputs_Delivery_Effort!BO28</f>
        <v>0.2</v>
      </c>
      <c r="M61" s="37">
        <f>Inputs_Delivery_Effort!BP28</f>
        <v>0.2</v>
      </c>
      <c r="N61" s="37">
        <f>Inputs_Delivery_Effort!BQ28</f>
        <v>0.2</v>
      </c>
      <c r="O61" s="37">
        <f>Inputs_Delivery_Effort!BR28</f>
        <v>0.2</v>
      </c>
      <c r="P61" s="263"/>
    </row>
    <row r="62" spans="1:16" x14ac:dyDescent="0.25">
      <c r="A62" s="117"/>
      <c r="B62" s="124"/>
      <c r="C62" s="263" t="s">
        <v>166</v>
      </c>
      <c r="D62" s="44" t="s">
        <v>30</v>
      </c>
      <c r="E62" s="44" t="s">
        <v>42</v>
      </c>
      <c r="F62" s="118"/>
      <c r="G62" s="675">
        <f>G59*G61</f>
        <v>1848</v>
      </c>
      <c r="H62" s="675">
        <f t="shared" ref="H62:O62" si="11">H59*H61</f>
        <v>1848</v>
      </c>
      <c r="I62" s="675">
        <f t="shared" si="11"/>
        <v>1848</v>
      </c>
      <c r="J62" s="675">
        <f t="shared" si="11"/>
        <v>1848</v>
      </c>
      <c r="K62" s="675">
        <f t="shared" si="11"/>
        <v>0</v>
      </c>
      <c r="L62" s="675">
        <f t="shared" si="11"/>
        <v>0</v>
      </c>
      <c r="M62" s="675">
        <f t="shared" si="11"/>
        <v>1381.528888888889</v>
      </c>
      <c r="N62" s="675">
        <f t="shared" si="11"/>
        <v>22.876444444444445</v>
      </c>
      <c r="O62" s="675">
        <f t="shared" si="11"/>
        <v>924</v>
      </c>
      <c r="P62" s="263"/>
    </row>
    <row r="63" spans="1:16" x14ac:dyDescent="0.25">
      <c r="A63" s="263"/>
      <c r="B63" s="263"/>
      <c r="C63" s="263"/>
      <c r="D63" s="263"/>
      <c r="E63" s="263"/>
      <c r="F63" s="263"/>
      <c r="G63" s="263"/>
      <c r="H63" s="263"/>
      <c r="I63" s="263"/>
      <c r="J63" s="263"/>
      <c r="K63" s="263"/>
      <c r="L63" s="263"/>
      <c r="M63" s="263"/>
      <c r="N63" s="263"/>
      <c r="O63" s="263"/>
      <c r="P63" s="263"/>
    </row>
    <row r="64" spans="1:16" x14ac:dyDescent="0.25">
      <c r="A64" s="263"/>
      <c r="B64" s="263"/>
      <c r="C64" s="125" t="s">
        <v>168</v>
      </c>
      <c r="D64" s="125"/>
      <c r="E64" s="125"/>
      <c r="F64" s="126"/>
      <c r="G64" s="126"/>
      <c r="H64" s="126"/>
      <c r="I64" s="126"/>
      <c r="J64" s="126"/>
      <c r="K64" s="126"/>
      <c r="L64" s="126"/>
      <c r="M64" s="126"/>
      <c r="N64" s="126"/>
      <c r="O64" s="126"/>
      <c r="P64" s="263"/>
    </row>
    <row r="65" spans="1:16" x14ac:dyDescent="0.25">
      <c r="A65" s="263"/>
      <c r="B65" s="263"/>
      <c r="C65" s="263"/>
      <c r="D65" s="263"/>
      <c r="E65" s="263"/>
      <c r="F65" s="263"/>
      <c r="G65" s="263"/>
      <c r="H65" s="263"/>
      <c r="I65" s="263"/>
      <c r="J65" s="263"/>
      <c r="K65" s="263"/>
      <c r="L65" s="263"/>
      <c r="M65" s="263"/>
      <c r="N65" s="263"/>
      <c r="O65" s="263"/>
      <c r="P65" s="263"/>
    </row>
    <row r="66" spans="1:16" x14ac:dyDescent="0.25">
      <c r="A66" s="263"/>
      <c r="B66" s="263"/>
      <c r="C66" s="263" t="s">
        <v>168</v>
      </c>
      <c r="D66" s="44" t="s">
        <v>51</v>
      </c>
      <c r="E66" s="44" t="s">
        <v>50</v>
      </c>
      <c r="F66" s="118" t="s">
        <v>214</v>
      </c>
      <c r="G66" s="673">
        <f>Inputs_Delivery_Effort!BJ31</f>
        <v>3.3000000000000003</v>
      </c>
      <c r="H66" s="673">
        <f>Inputs_Delivery_Effort!BK31</f>
        <v>3.3000000000000003</v>
      </c>
      <c r="I66" s="673">
        <f>Inputs_Delivery_Effort!BL31</f>
        <v>3.3000000000000003</v>
      </c>
      <c r="J66" s="673">
        <f>Inputs_Delivery_Effort!BM31</f>
        <v>3.3000000000000003</v>
      </c>
      <c r="K66" s="673">
        <f>Inputs_Delivery_Effort!BN31</f>
        <v>0</v>
      </c>
      <c r="L66" s="673">
        <f>Inputs_Delivery_Effort!BO31</f>
        <v>0</v>
      </c>
      <c r="M66" s="673">
        <f>Inputs_Delivery_Effort!BP31</f>
        <v>1.6500000000000001</v>
      </c>
      <c r="N66" s="673">
        <f>Inputs_Delivery_Effort!BQ31</f>
        <v>0</v>
      </c>
      <c r="O66" s="673">
        <f>Inputs_Delivery_Effort!BR31</f>
        <v>1.6500000000000001</v>
      </c>
      <c r="P66" s="263"/>
    </row>
    <row r="67" spans="1:16" x14ac:dyDescent="0.25">
      <c r="A67" s="263"/>
      <c r="B67" s="263"/>
      <c r="C67" s="263" t="s">
        <v>168</v>
      </c>
      <c r="D67" s="263" t="s">
        <v>51</v>
      </c>
      <c r="E67" s="263" t="s">
        <v>50</v>
      </c>
      <c r="F67" s="263" t="s">
        <v>117</v>
      </c>
      <c r="G67" s="674">
        <f>Inputs_Delivery_Effort!BJ33</f>
        <v>0.2</v>
      </c>
      <c r="H67" s="674">
        <f>Inputs_Delivery_Effort!BK33</f>
        <v>0.2</v>
      </c>
      <c r="I67" s="674">
        <f>Inputs_Delivery_Effort!BL33</f>
        <v>0.2</v>
      </c>
      <c r="J67" s="674">
        <f>Inputs_Delivery_Effort!BM33</f>
        <v>0.2</v>
      </c>
      <c r="K67" s="674">
        <f>Inputs_Delivery_Effort!BN33</f>
        <v>0</v>
      </c>
      <c r="L67" s="674">
        <f>Inputs_Delivery_Effort!BO33</f>
        <v>0</v>
      </c>
      <c r="M67" s="674">
        <f>Inputs_Delivery_Effort!BP33</f>
        <v>0.2</v>
      </c>
      <c r="N67" s="674">
        <f>Inputs_Delivery_Effort!BQ33</f>
        <v>0.2</v>
      </c>
      <c r="O67" s="674">
        <f>Inputs_Delivery_Effort!BR33</f>
        <v>0</v>
      </c>
      <c r="P67" s="263"/>
    </row>
    <row r="68" spans="1:16" x14ac:dyDescent="0.25">
      <c r="A68" s="263"/>
      <c r="B68" s="263"/>
      <c r="C68" s="263" t="s">
        <v>168</v>
      </c>
      <c r="D68" s="263" t="s">
        <v>48</v>
      </c>
      <c r="E68" s="263" t="s">
        <v>50</v>
      </c>
      <c r="F68" s="263" t="s">
        <v>182</v>
      </c>
      <c r="G68" s="671">
        <f>Inputs_Delivery_Effort!BJ34</f>
        <v>0</v>
      </c>
      <c r="H68" s="671">
        <f>Inputs_Delivery_Effort!BK34</f>
        <v>0</v>
      </c>
      <c r="I68" s="671">
        <f>Inputs_Delivery_Effort!BL34</f>
        <v>0</v>
      </c>
      <c r="J68" s="671">
        <f>Inputs_Delivery_Effort!BM34</f>
        <v>0</v>
      </c>
      <c r="K68" s="671">
        <f>Inputs_Delivery_Effort!BN34</f>
        <v>0</v>
      </c>
      <c r="L68" s="671">
        <f>Inputs_Delivery_Effort!BO34</f>
        <v>0</v>
      </c>
      <c r="M68" s="671">
        <f>Inputs_Delivery_Effort!BP34</f>
        <v>100</v>
      </c>
      <c r="N68" s="671">
        <f>Inputs_Delivery_Effort!BQ34</f>
        <v>5</v>
      </c>
      <c r="O68" s="671">
        <f>Inputs_Delivery_Effort!BR34</f>
        <v>0</v>
      </c>
      <c r="P68" s="263"/>
    </row>
    <row r="69" spans="1:16" x14ac:dyDescent="0.25">
      <c r="A69" s="263"/>
      <c r="B69" s="263"/>
      <c r="C69" s="263" t="s">
        <v>168</v>
      </c>
      <c r="D69" s="263" t="s">
        <v>30</v>
      </c>
      <c r="E69" s="263" t="s">
        <v>50</v>
      </c>
      <c r="F69" s="118" t="s">
        <v>70</v>
      </c>
      <c r="G69" s="112">
        <f>Inputs_CPs!F$11</f>
        <v>142.97777777777776</v>
      </c>
      <c r="H69" s="112">
        <f>Inputs_CPs!G$11</f>
        <v>142.97777777777776</v>
      </c>
      <c r="I69" s="112">
        <f>Inputs_CPs!H$11</f>
        <v>142.97777777777776</v>
      </c>
      <c r="J69" s="112">
        <f>Inputs_CPs!I$11</f>
        <v>142.97777777777776</v>
      </c>
      <c r="K69" s="112">
        <f>Inputs_CPs!N$11</f>
        <v>142.97777777777776</v>
      </c>
      <c r="L69" s="112">
        <f>Inputs_CPs!O$11</f>
        <v>142.97777777777776</v>
      </c>
      <c r="M69" s="112">
        <f>Inputs_CPs!K$11</f>
        <v>142.97777777777776</v>
      </c>
      <c r="N69" s="112">
        <f>Inputs_CPs!L$11</f>
        <v>142.97777777777776</v>
      </c>
      <c r="O69" s="112">
        <f>Inputs_CPs!M$11</f>
        <v>142.97777777777776</v>
      </c>
      <c r="P69" s="263"/>
    </row>
    <row r="70" spans="1:16" x14ac:dyDescent="0.25">
      <c r="A70" s="263"/>
      <c r="B70" s="263"/>
      <c r="C70" s="263" t="s">
        <v>168</v>
      </c>
      <c r="D70" s="263" t="s">
        <v>30</v>
      </c>
      <c r="E70" s="263" t="s">
        <v>43</v>
      </c>
      <c r="F70" s="263"/>
      <c r="G70" s="675">
        <f t="shared" ref="G70:O70" si="12">(G67*G69*G68)+(G66*IT_Consultant_Daily_Rate)</f>
        <v>1650.0000000000002</v>
      </c>
      <c r="H70" s="675">
        <f t="shared" si="12"/>
        <v>1650.0000000000002</v>
      </c>
      <c r="I70" s="675">
        <f t="shared" si="12"/>
        <v>1650.0000000000002</v>
      </c>
      <c r="J70" s="675">
        <f t="shared" si="12"/>
        <v>1650.0000000000002</v>
      </c>
      <c r="K70" s="675">
        <f t="shared" si="12"/>
        <v>0</v>
      </c>
      <c r="L70" s="675">
        <f t="shared" si="12"/>
        <v>0</v>
      </c>
      <c r="M70" s="675">
        <f t="shared" si="12"/>
        <v>3684.5555555555552</v>
      </c>
      <c r="N70" s="675">
        <f t="shared" si="12"/>
        <v>142.97777777777776</v>
      </c>
      <c r="O70" s="675">
        <f t="shared" si="12"/>
        <v>825.00000000000011</v>
      </c>
      <c r="P70" s="263"/>
    </row>
    <row r="71" spans="1:16" x14ac:dyDescent="0.25">
      <c r="A71" s="263"/>
      <c r="B71" s="263"/>
      <c r="C71" s="263"/>
      <c r="D71" s="263"/>
      <c r="E71" s="263"/>
      <c r="F71" s="263"/>
      <c r="G71" s="263"/>
      <c r="H71" s="263"/>
      <c r="I71" s="263"/>
      <c r="J71" s="263"/>
      <c r="K71" s="263"/>
      <c r="L71" s="263"/>
      <c r="M71" s="263"/>
      <c r="N71" s="263"/>
      <c r="O71" s="263"/>
      <c r="P71" s="263"/>
    </row>
    <row r="72" spans="1:16" x14ac:dyDescent="0.25">
      <c r="A72" s="263"/>
      <c r="B72" s="263"/>
      <c r="C72" s="263" t="s">
        <v>168</v>
      </c>
      <c r="D72" s="44" t="s">
        <v>49</v>
      </c>
      <c r="E72" s="44" t="s">
        <v>47</v>
      </c>
      <c r="F72" s="118" t="s">
        <v>118</v>
      </c>
      <c r="G72" s="37">
        <f>Inputs_Delivery_Effort!BJ32</f>
        <v>0.2</v>
      </c>
      <c r="H72" s="37">
        <f>Inputs_Delivery_Effort!BK32</f>
        <v>0.2</v>
      </c>
      <c r="I72" s="37">
        <f>Inputs_Delivery_Effort!BL32</f>
        <v>0.2</v>
      </c>
      <c r="J72" s="37">
        <f>Inputs_Delivery_Effort!BM32</f>
        <v>0.2</v>
      </c>
      <c r="K72" s="37">
        <f>Inputs_Delivery_Effort!BN32</f>
        <v>0.2</v>
      </c>
      <c r="L72" s="37">
        <f>Inputs_Delivery_Effort!BO32</f>
        <v>0.2</v>
      </c>
      <c r="M72" s="37">
        <f>Inputs_Delivery_Effort!BP32</f>
        <v>0.2</v>
      </c>
      <c r="N72" s="37">
        <f>Inputs_Delivery_Effort!BQ32</f>
        <v>0.2</v>
      </c>
      <c r="O72" s="37">
        <f>Inputs_Delivery_Effort!BR32</f>
        <v>0.2</v>
      </c>
      <c r="P72" s="263"/>
    </row>
    <row r="73" spans="1:16" x14ac:dyDescent="0.25">
      <c r="A73" s="263"/>
      <c r="B73" s="263"/>
      <c r="C73" s="263" t="s">
        <v>168</v>
      </c>
      <c r="D73" s="44" t="s">
        <v>30</v>
      </c>
      <c r="E73" s="44" t="s">
        <v>42</v>
      </c>
      <c r="F73" s="118"/>
      <c r="G73" s="675">
        <f>G70*G72</f>
        <v>330.00000000000006</v>
      </c>
      <c r="H73" s="675">
        <f t="shared" ref="H73:O73" si="13">H70*H72</f>
        <v>330.00000000000006</v>
      </c>
      <c r="I73" s="675">
        <f t="shared" si="13"/>
        <v>330.00000000000006</v>
      </c>
      <c r="J73" s="675">
        <f t="shared" si="13"/>
        <v>330.00000000000006</v>
      </c>
      <c r="K73" s="675">
        <f t="shared" si="13"/>
        <v>0</v>
      </c>
      <c r="L73" s="675">
        <f t="shared" si="13"/>
        <v>0</v>
      </c>
      <c r="M73" s="675">
        <f t="shared" si="13"/>
        <v>736.91111111111104</v>
      </c>
      <c r="N73" s="675">
        <f t="shared" si="13"/>
        <v>28.595555555555553</v>
      </c>
      <c r="O73" s="675">
        <f t="shared" si="13"/>
        <v>165.00000000000003</v>
      </c>
      <c r="P73" s="263"/>
    </row>
    <row r="74" spans="1:16" x14ac:dyDescent="0.25">
      <c r="A74" s="263"/>
      <c r="B74" s="263"/>
      <c r="C74" s="263"/>
      <c r="D74" s="263"/>
      <c r="E74" s="263"/>
      <c r="F74" s="263"/>
      <c r="G74" s="263"/>
      <c r="H74" s="263"/>
      <c r="I74" s="263"/>
      <c r="J74" s="263"/>
      <c r="K74" s="263"/>
      <c r="L74" s="263"/>
      <c r="M74" s="263"/>
      <c r="N74" s="263"/>
      <c r="O74" s="263"/>
      <c r="P74" s="263"/>
    </row>
  </sheetData>
  <mergeCells count="1">
    <mergeCell ref="G4:J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P126"/>
  <sheetViews>
    <sheetView showGridLines="0" zoomScale="80" zoomScaleNormal="80" workbookViewId="0">
      <pane ySplit="5" topLeftCell="A6" activePane="bottomLeft" state="frozen"/>
      <selection activeCell="R56" sqref="R56"/>
      <selection pane="bottomLeft"/>
    </sheetView>
  </sheetViews>
  <sheetFormatPr defaultRowHeight="15" x14ac:dyDescent="0.25"/>
  <cols>
    <col min="1" max="1" width="3.28515625" customWidth="1"/>
    <col min="2" max="2" width="14.28515625" bestFit="1" customWidth="1"/>
    <col min="3" max="3" width="38.28515625" customWidth="1"/>
    <col min="4" max="4" width="8.28515625" bestFit="1" customWidth="1"/>
    <col min="5" max="5" width="14.85546875" bestFit="1" customWidth="1"/>
    <col min="6" max="6" width="68.5703125" bestFit="1" customWidth="1"/>
  </cols>
  <sheetData>
    <row r="1" spans="1:16" x14ac:dyDescent="0.25">
      <c r="A1" s="117"/>
      <c r="B1" s="117"/>
      <c r="C1" s="44"/>
      <c r="D1" s="44"/>
      <c r="E1" s="44"/>
      <c r="F1" s="118"/>
      <c r="G1" s="263"/>
      <c r="H1" s="263"/>
      <c r="I1" s="263"/>
      <c r="J1" s="263"/>
      <c r="K1" s="263"/>
      <c r="L1" s="263"/>
      <c r="M1" s="263"/>
      <c r="N1" s="263"/>
      <c r="O1" s="263"/>
      <c r="P1" s="263"/>
    </row>
    <row r="2" spans="1:16" x14ac:dyDescent="0.25">
      <c r="A2" s="117"/>
      <c r="B2" s="117" t="s">
        <v>0</v>
      </c>
      <c r="C2" s="119" t="str">
        <f ca="1">MID(CELL("filename",A1),FIND("]",CELL("filename",A1))+1,256)</f>
        <v>eC&amp;R-DCC System Workings</v>
      </c>
      <c r="D2" s="44"/>
      <c r="E2" s="44"/>
      <c r="F2" s="118"/>
      <c r="G2" s="263"/>
      <c r="H2" s="263"/>
      <c r="I2" s="263"/>
      <c r="J2" s="263"/>
      <c r="K2" s="263"/>
      <c r="L2" s="263"/>
      <c r="M2" s="263"/>
      <c r="N2" s="263"/>
      <c r="O2" s="263"/>
      <c r="P2" s="263"/>
    </row>
    <row r="3" spans="1:16" x14ac:dyDescent="0.25">
      <c r="A3" s="117"/>
      <c r="B3" s="117" t="s">
        <v>1</v>
      </c>
      <c r="C3" s="118" t="s">
        <v>325</v>
      </c>
      <c r="D3" s="44"/>
      <c r="E3" s="44"/>
      <c r="F3" s="118"/>
      <c r="G3" s="263"/>
      <c r="H3" s="263"/>
      <c r="I3" s="263"/>
      <c r="J3" s="263"/>
      <c r="K3" s="263"/>
      <c r="L3" s="263"/>
      <c r="M3" s="263"/>
      <c r="N3" s="263"/>
      <c r="O3" s="263"/>
      <c r="P3" s="263"/>
    </row>
    <row r="4" spans="1:16" x14ac:dyDescent="0.25">
      <c r="A4" s="117"/>
      <c r="B4" s="117"/>
      <c r="C4" s="44"/>
      <c r="D4" s="44"/>
      <c r="E4" s="44"/>
      <c r="F4" s="118"/>
      <c r="G4" s="710" t="s">
        <v>83</v>
      </c>
      <c r="H4" s="710"/>
      <c r="I4" s="710"/>
      <c r="J4" s="710"/>
      <c r="K4" s="263"/>
      <c r="L4" s="263"/>
      <c r="M4" s="263"/>
      <c r="N4" s="263"/>
      <c r="O4" s="264"/>
      <c r="P4" s="263"/>
    </row>
    <row r="5" spans="1:16" x14ac:dyDescent="0.25">
      <c r="A5" s="120"/>
      <c r="B5" s="120" t="s">
        <v>27</v>
      </c>
      <c r="C5" s="121" t="s">
        <v>28</v>
      </c>
      <c r="D5" s="121" t="s">
        <v>29</v>
      </c>
      <c r="E5" s="121" t="s">
        <v>130</v>
      </c>
      <c r="F5" s="122" t="s">
        <v>173</v>
      </c>
      <c r="G5" s="19" t="s">
        <v>59</v>
      </c>
      <c r="H5" s="19" t="s">
        <v>62</v>
      </c>
      <c r="I5" s="19" t="s">
        <v>56</v>
      </c>
      <c r="J5" s="19" t="s">
        <v>72</v>
      </c>
      <c r="K5" s="19" t="s">
        <v>46</v>
      </c>
      <c r="L5" s="19" t="s">
        <v>79</v>
      </c>
      <c r="M5" s="19" t="s">
        <v>82</v>
      </c>
      <c r="N5" s="19" t="s">
        <v>81</v>
      </c>
      <c r="O5" s="19" t="s">
        <v>90</v>
      </c>
      <c r="P5" s="263"/>
    </row>
    <row r="6" spans="1:16" x14ac:dyDescent="0.25">
      <c r="A6" s="117"/>
      <c r="B6" s="117"/>
      <c r="C6" s="44"/>
      <c r="D6" s="44"/>
      <c r="E6" s="44"/>
      <c r="F6" s="118"/>
      <c r="G6" s="263"/>
      <c r="H6" s="263"/>
      <c r="I6" s="263"/>
      <c r="J6" s="263"/>
      <c r="K6" s="263"/>
      <c r="L6" s="263"/>
      <c r="M6" s="263"/>
      <c r="N6" s="263"/>
      <c r="O6" s="263"/>
      <c r="P6" s="263"/>
    </row>
    <row r="7" spans="1:16" x14ac:dyDescent="0.25">
      <c r="A7" s="117"/>
      <c r="B7" s="123" t="s">
        <v>174</v>
      </c>
      <c r="C7" s="44" t="s">
        <v>43</v>
      </c>
      <c r="D7" s="44"/>
      <c r="E7" s="44"/>
      <c r="F7" s="118"/>
      <c r="G7" s="677">
        <f>SUMIF($E$11:$E$125,"CAPEX",G11:G125)</f>
        <v>421480</v>
      </c>
      <c r="H7" s="677">
        <f>SUMIF($E$11:$E$125,"CAPEX",H11:H125)</f>
        <v>497880</v>
      </c>
      <c r="I7" s="677">
        <f t="shared" ref="I7:O7" si="0">SUMIF($E$11:$E$125,"CAPEX",I11:I125)</f>
        <v>421480</v>
      </c>
      <c r="J7" s="677">
        <f t="shared" si="0"/>
        <v>421480</v>
      </c>
      <c r="K7" s="677">
        <f t="shared" si="0"/>
        <v>0</v>
      </c>
      <c r="L7" s="677">
        <f t="shared" si="0"/>
        <v>0</v>
      </c>
      <c r="M7" s="677">
        <f t="shared" si="0"/>
        <v>210740</v>
      </c>
      <c r="N7" s="677">
        <f t="shared" si="0"/>
        <v>0</v>
      </c>
      <c r="O7" s="677">
        <f t="shared" si="0"/>
        <v>210740</v>
      </c>
      <c r="P7" s="263"/>
    </row>
    <row r="8" spans="1:16" x14ac:dyDescent="0.25">
      <c r="A8" s="117"/>
      <c r="B8" s="117"/>
      <c r="C8" s="44" t="s">
        <v>42</v>
      </c>
      <c r="D8" s="44"/>
      <c r="E8" s="44"/>
      <c r="F8" s="118"/>
      <c r="G8" s="677">
        <f t="shared" ref="G8:O8" si="1">SUMIF($E$11:$E$125,"OPEX",G11:G125)/(1+CAPEX_Factor)</f>
        <v>62411.250000000015</v>
      </c>
      <c r="H8" s="677">
        <f t="shared" si="1"/>
        <v>67691.250000000015</v>
      </c>
      <c r="I8" s="677">
        <f t="shared" si="1"/>
        <v>62411.250000000015</v>
      </c>
      <c r="J8" s="677">
        <f t="shared" si="1"/>
        <v>62411.250000000015</v>
      </c>
      <c r="K8" s="677">
        <f t="shared" si="1"/>
        <v>0</v>
      </c>
      <c r="L8" s="677">
        <f t="shared" si="1"/>
        <v>0</v>
      </c>
      <c r="M8" s="677">
        <f t="shared" si="1"/>
        <v>31205.625000000007</v>
      </c>
      <c r="N8" s="677">
        <f t="shared" si="1"/>
        <v>0</v>
      </c>
      <c r="O8" s="677">
        <f t="shared" si="1"/>
        <v>31205.625000000007</v>
      </c>
      <c r="P8" s="263"/>
    </row>
    <row r="9" spans="1:16" x14ac:dyDescent="0.25">
      <c r="A9" s="117"/>
      <c r="B9" s="124"/>
      <c r="C9" s="125" t="s">
        <v>140</v>
      </c>
      <c r="D9" s="125"/>
      <c r="E9" s="125"/>
      <c r="F9" s="126"/>
      <c r="G9" s="126"/>
      <c r="H9" s="126"/>
      <c r="I9" s="126"/>
      <c r="J9" s="126"/>
      <c r="K9" s="126"/>
      <c r="L9" s="126"/>
      <c r="M9" s="126"/>
      <c r="N9" s="126"/>
      <c r="O9" s="126"/>
      <c r="P9" s="263"/>
    </row>
    <row r="10" spans="1:16" x14ac:dyDescent="0.25">
      <c r="A10" s="127"/>
      <c r="B10" s="124"/>
      <c r="C10" s="124"/>
      <c r="D10" s="124"/>
      <c r="E10" s="124"/>
      <c r="F10" s="128"/>
      <c r="G10" s="263"/>
      <c r="H10" s="263"/>
      <c r="I10" s="263"/>
      <c r="J10" s="263"/>
      <c r="K10" s="263"/>
      <c r="L10" s="263"/>
      <c r="M10" s="263"/>
      <c r="N10" s="263"/>
      <c r="O10" s="263"/>
      <c r="P10" s="263"/>
    </row>
    <row r="11" spans="1:16" x14ac:dyDescent="0.25">
      <c r="A11" s="129"/>
      <c r="B11" s="124"/>
      <c r="C11" s="44" t="s">
        <v>140</v>
      </c>
      <c r="D11" s="44" t="s">
        <v>61</v>
      </c>
      <c r="E11" s="44" t="s">
        <v>50</v>
      </c>
      <c r="F11" s="118" t="s">
        <v>152</v>
      </c>
      <c r="G11" s="673">
        <f>Inputs_Delivery_Effort!BJ35</f>
        <v>6.6000000000000005</v>
      </c>
      <c r="H11" s="673">
        <f>Inputs_Delivery_Effort!BK35</f>
        <v>17.160000000000004</v>
      </c>
      <c r="I11" s="673">
        <f>Inputs_Delivery_Effort!BL35</f>
        <v>6.6000000000000005</v>
      </c>
      <c r="J11" s="673">
        <f>Inputs_Delivery_Effort!BM35</f>
        <v>6.6000000000000005</v>
      </c>
      <c r="K11" s="673">
        <f>Inputs_Delivery_Effort!BN35</f>
        <v>0</v>
      </c>
      <c r="L11" s="673">
        <f>Inputs_Delivery_Effort!BO35</f>
        <v>0</v>
      </c>
      <c r="M11" s="673">
        <f>Inputs_Delivery_Effort!BP35</f>
        <v>3.3000000000000003</v>
      </c>
      <c r="N11" s="673">
        <f>Inputs_Delivery_Effort!BQ35</f>
        <v>0</v>
      </c>
      <c r="O11" s="673">
        <f>Inputs_Delivery_Effort!BR35</f>
        <v>3.3000000000000003</v>
      </c>
      <c r="P11" s="263"/>
    </row>
    <row r="12" spans="1:16" x14ac:dyDescent="0.25">
      <c r="A12" s="117"/>
      <c r="B12" s="124"/>
      <c r="C12" s="44" t="s">
        <v>140</v>
      </c>
      <c r="D12" s="44" t="s">
        <v>30</v>
      </c>
      <c r="E12" s="44" t="s">
        <v>50</v>
      </c>
      <c r="F12" s="118" t="s">
        <v>119</v>
      </c>
      <c r="G12" s="677">
        <f>Inputs_Delivery_Effort!BJ36</f>
        <v>0</v>
      </c>
      <c r="H12" s="677">
        <f>Inputs_Delivery_Effort!BK36</f>
        <v>10000</v>
      </c>
      <c r="I12" s="677">
        <f>Inputs_Delivery_Effort!BL36</f>
        <v>0</v>
      </c>
      <c r="J12" s="677">
        <f>Inputs_Delivery_Effort!BM36</f>
        <v>0</v>
      </c>
      <c r="K12" s="677">
        <f>Inputs_Delivery_Effort!BN36</f>
        <v>0</v>
      </c>
      <c r="L12" s="677">
        <f>Inputs_Delivery_Effort!BO36</f>
        <v>0</v>
      </c>
      <c r="M12" s="677">
        <f>Inputs_Delivery_Effort!BP36</f>
        <v>0</v>
      </c>
      <c r="N12" s="677">
        <f>Inputs_Delivery_Effort!BQ36</f>
        <v>0</v>
      </c>
      <c r="O12" s="677">
        <f>Inputs_Delivery_Effort!BR36</f>
        <v>0</v>
      </c>
      <c r="P12" s="263"/>
    </row>
    <row r="13" spans="1:16" x14ac:dyDescent="0.25">
      <c r="A13" s="117"/>
      <c r="B13" s="124"/>
      <c r="C13" s="44" t="s">
        <v>140</v>
      </c>
      <c r="D13" s="44" t="s">
        <v>30</v>
      </c>
      <c r="E13" s="44" t="s">
        <v>43</v>
      </c>
      <c r="F13" s="118"/>
      <c r="G13" s="675">
        <f t="shared" ref="G13:O13" si="2">(G11*IT_Consultant_Daily_Rate)+G12</f>
        <v>3300.0000000000005</v>
      </c>
      <c r="H13" s="675">
        <f t="shared" si="2"/>
        <v>18580</v>
      </c>
      <c r="I13" s="675">
        <f t="shared" si="2"/>
        <v>3300.0000000000005</v>
      </c>
      <c r="J13" s="675">
        <f t="shared" si="2"/>
        <v>3300.0000000000005</v>
      </c>
      <c r="K13" s="675">
        <f t="shared" si="2"/>
        <v>0</v>
      </c>
      <c r="L13" s="675">
        <f t="shared" si="2"/>
        <v>0</v>
      </c>
      <c r="M13" s="675">
        <f t="shared" si="2"/>
        <v>1650.0000000000002</v>
      </c>
      <c r="N13" s="675">
        <f t="shared" si="2"/>
        <v>0</v>
      </c>
      <c r="O13" s="675">
        <f t="shared" si="2"/>
        <v>1650.0000000000002</v>
      </c>
      <c r="P13" s="263"/>
    </row>
    <row r="14" spans="1:16" x14ac:dyDescent="0.25">
      <c r="A14" s="117"/>
      <c r="B14" s="124"/>
      <c r="C14" s="44"/>
      <c r="D14" s="44"/>
      <c r="E14" s="44"/>
      <c r="F14" s="118"/>
      <c r="G14" s="263"/>
      <c r="H14" s="263"/>
      <c r="I14" s="263"/>
      <c r="J14" s="263"/>
      <c r="K14" s="263"/>
      <c r="L14" s="263"/>
      <c r="M14" s="263"/>
      <c r="N14" s="263"/>
      <c r="O14" s="263"/>
      <c r="P14" s="263"/>
    </row>
    <row r="15" spans="1:16" x14ac:dyDescent="0.25">
      <c r="A15" s="117"/>
      <c r="B15" s="124"/>
      <c r="C15" s="44" t="s">
        <v>140</v>
      </c>
      <c r="D15" s="44" t="s">
        <v>49</v>
      </c>
      <c r="E15" s="44" t="s">
        <v>47</v>
      </c>
      <c r="F15" s="118" t="s">
        <v>120</v>
      </c>
      <c r="G15" s="37">
        <f>Inputs_Delivery_Effort!BJ37</f>
        <v>0.2</v>
      </c>
      <c r="H15" s="37">
        <f>Inputs_Delivery_Effort!BK37</f>
        <v>0.2</v>
      </c>
      <c r="I15" s="37">
        <f>Inputs_Delivery_Effort!BL37</f>
        <v>0.2</v>
      </c>
      <c r="J15" s="37">
        <f>Inputs_Delivery_Effort!BM37</f>
        <v>0.2</v>
      </c>
      <c r="K15" s="37">
        <f>Inputs_Delivery_Effort!BN37</f>
        <v>0.2</v>
      </c>
      <c r="L15" s="37">
        <f>Inputs_Delivery_Effort!BO37</f>
        <v>0.2</v>
      </c>
      <c r="M15" s="37">
        <f>Inputs_Delivery_Effort!BP37</f>
        <v>0.2</v>
      </c>
      <c r="N15" s="37">
        <f>Inputs_Delivery_Effort!BQ37</f>
        <v>0.2</v>
      </c>
      <c r="O15" s="37">
        <f>Inputs_Delivery_Effort!BR37</f>
        <v>0.2</v>
      </c>
      <c r="P15" s="263"/>
    </row>
    <row r="16" spans="1:16" x14ac:dyDescent="0.25">
      <c r="A16" s="117"/>
      <c r="B16" s="124"/>
      <c r="C16" s="44" t="s">
        <v>140</v>
      </c>
      <c r="D16" s="44" t="s">
        <v>30</v>
      </c>
      <c r="E16" s="44" t="s">
        <v>42</v>
      </c>
      <c r="F16" s="118"/>
      <c r="G16" s="675">
        <f t="shared" ref="G16:O16" si="3">(G11*IT_Consultant_Daily_Rate)*G15</f>
        <v>660.00000000000011</v>
      </c>
      <c r="H16" s="675">
        <f t="shared" si="3"/>
        <v>1716.0000000000005</v>
      </c>
      <c r="I16" s="675">
        <f t="shared" si="3"/>
        <v>660.00000000000011</v>
      </c>
      <c r="J16" s="675">
        <f t="shared" si="3"/>
        <v>660.00000000000011</v>
      </c>
      <c r="K16" s="675">
        <f t="shared" si="3"/>
        <v>0</v>
      </c>
      <c r="L16" s="675">
        <f t="shared" si="3"/>
        <v>0</v>
      </c>
      <c r="M16" s="675">
        <f t="shared" si="3"/>
        <v>330.00000000000006</v>
      </c>
      <c r="N16" s="675">
        <f t="shared" si="3"/>
        <v>0</v>
      </c>
      <c r="O16" s="675">
        <f t="shared" si="3"/>
        <v>330.00000000000006</v>
      </c>
      <c r="P16" s="263"/>
    </row>
    <row r="17" spans="1:16" x14ac:dyDescent="0.25">
      <c r="A17" s="263"/>
      <c r="B17" s="263"/>
      <c r="C17" s="263"/>
      <c r="D17" s="263"/>
      <c r="E17" s="263"/>
      <c r="F17" s="263"/>
      <c r="G17" s="263"/>
      <c r="H17" s="263"/>
      <c r="I17" s="263"/>
      <c r="J17" s="263"/>
      <c r="K17" s="263"/>
      <c r="L17" s="263"/>
      <c r="M17" s="263"/>
      <c r="N17" s="263"/>
      <c r="O17" s="263"/>
      <c r="P17" s="263"/>
    </row>
    <row r="18" spans="1:16" x14ac:dyDescent="0.25">
      <c r="A18" s="117"/>
      <c r="B18" s="124"/>
      <c r="C18" s="125" t="s">
        <v>145</v>
      </c>
      <c r="D18" s="125"/>
      <c r="E18" s="125"/>
      <c r="F18" s="126"/>
      <c r="G18" s="126"/>
      <c r="H18" s="126"/>
      <c r="I18" s="126"/>
      <c r="J18" s="126"/>
      <c r="K18" s="126"/>
      <c r="L18" s="126"/>
      <c r="M18" s="126"/>
      <c r="N18" s="126"/>
      <c r="O18" s="126"/>
      <c r="P18" s="263"/>
    </row>
    <row r="19" spans="1:16" x14ac:dyDescent="0.25">
      <c r="A19" s="117"/>
      <c r="B19" s="124"/>
      <c r="C19" s="124"/>
      <c r="D19" s="124"/>
      <c r="E19" s="124"/>
      <c r="F19" s="128"/>
      <c r="G19" s="128"/>
      <c r="H19" s="128"/>
      <c r="I19" s="128"/>
      <c r="J19" s="128"/>
      <c r="K19" s="128"/>
      <c r="L19" s="128"/>
      <c r="M19" s="128"/>
      <c r="N19" s="128"/>
      <c r="O19" s="128"/>
      <c r="P19" s="263"/>
    </row>
    <row r="20" spans="1:16" x14ac:dyDescent="0.25">
      <c r="A20" s="263"/>
      <c r="B20" s="263"/>
      <c r="C20" s="263" t="s">
        <v>145</v>
      </c>
      <c r="D20" s="263" t="s">
        <v>61</v>
      </c>
      <c r="E20" s="263" t="s">
        <v>50</v>
      </c>
      <c r="F20" s="263" t="s">
        <v>152</v>
      </c>
      <c r="G20" s="673">
        <f>Inputs_Delivery_Effort!BJ38</f>
        <v>0</v>
      </c>
      <c r="H20" s="673">
        <f>Inputs_Delivery_Effort!BK38</f>
        <v>10.560000000000002</v>
      </c>
      <c r="I20" s="673">
        <f>Inputs_Delivery_Effort!BL38</f>
        <v>0</v>
      </c>
      <c r="J20" s="673">
        <f>Inputs_Delivery_Effort!BM38</f>
        <v>0</v>
      </c>
      <c r="K20" s="673">
        <f>Inputs_Delivery_Effort!BN38</f>
        <v>0</v>
      </c>
      <c r="L20" s="673">
        <f>Inputs_Delivery_Effort!BO38</f>
        <v>0</v>
      </c>
      <c r="M20" s="673">
        <f>Inputs_Delivery_Effort!BP38</f>
        <v>0</v>
      </c>
      <c r="N20" s="673">
        <f>Inputs_Delivery_Effort!BQ38</f>
        <v>0</v>
      </c>
      <c r="O20" s="673">
        <f>Inputs_Delivery_Effort!BR38</f>
        <v>0</v>
      </c>
      <c r="P20" s="263"/>
    </row>
    <row r="21" spans="1:16" x14ac:dyDescent="0.25">
      <c r="A21" s="263"/>
      <c r="B21" s="263"/>
      <c r="C21" s="263" t="s">
        <v>145</v>
      </c>
      <c r="D21" s="263" t="s">
        <v>30</v>
      </c>
      <c r="E21" s="263" t="s">
        <v>50</v>
      </c>
      <c r="F21" s="263" t="s">
        <v>119</v>
      </c>
      <c r="G21" s="677">
        <f>Inputs_Delivery_Effort!BJ39</f>
        <v>0</v>
      </c>
      <c r="H21" s="677">
        <f>Inputs_Delivery_Effort!BK39</f>
        <v>10000</v>
      </c>
      <c r="I21" s="677">
        <f>Inputs_Delivery_Effort!BL39</f>
        <v>0</v>
      </c>
      <c r="J21" s="677">
        <f>Inputs_Delivery_Effort!BM39</f>
        <v>0</v>
      </c>
      <c r="K21" s="677">
        <f>Inputs_Delivery_Effort!BN39</f>
        <v>0</v>
      </c>
      <c r="L21" s="677">
        <f>Inputs_Delivery_Effort!BO39</f>
        <v>0</v>
      </c>
      <c r="M21" s="677">
        <f>Inputs_Delivery_Effort!BP39</f>
        <v>0</v>
      </c>
      <c r="N21" s="677">
        <f>Inputs_Delivery_Effort!BQ39</f>
        <v>0</v>
      </c>
      <c r="O21" s="677">
        <f>Inputs_Delivery_Effort!BR39</f>
        <v>0</v>
      </c>
      <c r="P21" s="263"/>
    </row>
    <row r="22" spans="1:16" x14ac:dyDescent="0.25">
      <c r="A22" s="263"/>
      <c r="B22" s="263"/>
      <c r="C22" s="263" t="s">
        <v>145</v>
      </c>
      <c r="D22" s="263" t="s">
        <v>30</v>
      </c>
      <c r="E22" s="263" t="s">
        <v>43</v>
      </c>
      <c r="F22" s="263"/>
      <c r="G22" s="675">
        <f t="shared" ref="G22:O22" si="4">(G20*IT_Consultant_Daily_Rate)+G21</f>
        <v>0</v>
      </c>
      <c r="H22" s="675">
        <f t="shared" si="4"/>
        <v>15280</v>
      </c>
      <c r="I22" s="675">
        <f t="shared" si="4"/>
        <v>0</v>
      </c>
      <c r="J22" s="675">
        <f t="shared" si="4"/>
        <v>0</v>
      </c>
      <c r="K22" s="675">
        <f t="shared" si="4"/>
        <v>0</v>
      </c>
      <c r="L22" s="675">
        <f t="shared" si="4"/>
        <v>0</v>
      </c>
      <c r="M22" s="675">
        <f t="shared" si="4"/>
        <v>0</v>
      </c>
      <c r="N22" s="675">
        <f t="shared" si="4"/>
        <v>0</v>
      </c>
      <c r="O22" s="675">
        <f t="shared" si="4"/>
        <v>0</v>
      </c>
      <c r="P22" s="263"/>
    </row>
    <row r="23" spans="1:16" x14ac:dyDescent="0.25">
      <c r="A23" s="263"/>
      <c r="B23" s="263"/>
      <c r="C23" s="263"/>
      <c r="D23" s="263"/>
      <c r="E23" s="263"/>
      <c r="F23" s="263"/>
      <c r="G23" s="263"/>
      <c r="H23" s="263"/>
      <c r="I23" s="263"/>
      <c r="J23" s="263"/>
      <c r="K23" s="263"/>
      <c r="L23" s="263"/>
      <c r="M23" s="263"/>
      <c r="N23" s="263"/>
      <c r="O23" s="263"/>
      <c r="P23" s="263"/>
    </row>
    <row r="24" spans="1:16" x14ac:dyDescent="0.25">
      <c r="A24" s="263"/>
      <c r="B24" s="263"/>
      <c r="C24" s="263" t="s">
        <v>145</v>
      </c>
      <c r="D24" s="263" t="s">
        <v>49</v>
      </c>
      <c r="E24" s="263" t="s">
        <v>47</v>
      </c>
      <c r="F24" s="263" t="s">
        <v>120</v>
      </c>
      <c r="G24" s="37">
        <f>Inputs_Delivery_Effort!BJ40</f>
        <v>0.2</v>
      </c>
      <c r="H24" s="37">
        <f>Inputs_Delivery_Effort!BK40</f>
        <v>0.2</v>
      </c>
      <c r="I24" s="37">
        <f>Inputs_Delivery_Effort!BL40</f>
        <v>0.2</v>
      </c>
      <c r="J24" s="37">
        <f>Inputs_Delivery_Effort!BM40</f>
        <v>0.2</v>
      </c>
      <c r="K24" s="37">
        <f>Inputs_Delivery_Effort!BN40</f>
        <v>0.2</v>
      </c>
      <c r="L24" s="37">
        <f>Inputs_Delivery_Effort!BO40</f>
        <v>0.2</v>
      </c>
      <c r="M24" s="37">
        <f>Inputs_Delivery_Effort!BP40</f>
        <v>0.2</v>
      </c>
      <c r="N24" s="37">
        <f>Inputs_Delivery_Effort!BQ40</f>
        <v>0.2</v>
      </c>
      <c r="O24" s="37">
        <f>Inputs_Delivery_Effort!BR40</f>
        <v>0.2</v>
      </c>
      <c r="P24" s="263"/>
    </row>
    <row r="25" spans="1:16" x14ac:dyDescent="0.25">
      <c r="A25" s="263"/>
      <c r="B25" s="263"/>
      <c r="C25" s="263" t="s">
        <v>145</v>
      </c>
      <c r="D25" s="263" t="s">
        <v>30</v>
      </c>
      <c r="E25" s="263" t="s">
        <v>42</v>
      </c>
      <c r="F25" s="263"/>
      <c r="G25" s="675">
        <f t="shared" ref="G25:O25" si="5">(G20*IT_Consultant_Daily_Rate)*G24</f>
        <v>0</v>
      </c>
      <c r="H25" s="675">
        <f t="shared" si="5"/>
        <v>1056.0000000000002</v>
      </c>
      <c r="I25" s="675">
        <f t="shared" si="5"/>
        <v>0</v>
      </c>
      <c r="J25" s="675">
        <f t="shared" si="5"/>
        <v>0</v>
      </c>
      <c r="K25" s="675">
        <f t="shared" si="5"/>
        <v>0</v>
      </c>
      <c r="L25" s="675">
        <f t="shared" si="5"/>
        <v>0</v>
      </c>
      <c r="M25" s="675">
        <f t="shared" si="5"/>
        <v>0</v>
      </c>
      <c r="N25" s="675">
        <f t="shared" si="5"/>
        <v>0</v>
      </c>
      <c r="O25" s="675">
        <f t="shared" si="5"/>
        <v>0</v>
      </c>
      <c r="P25" s="263"/>
    </row>
    <row r="26" spans="1:16" x14ac:dyDescent="0.25">
      <c r="A26" s="263"/>
      <c r="B26" s="263"/>
      <c r="C26" s="263"/>
      <c r="D26" s="263"/>
      <c r="E26" s="263"/>
      <c r="F26" s="263"/>
      <c r="G26" s="263"/>
      <c r="H26" s="263"/>
      <c r="I26" s="263"/>
      <c r="J26" s="263"/>
      <c r="K26" s="263"/>
      <c r="L26" s="263"/>
      <c r="M26" s="263"/>
      <c r="N26" s="263"/>
      <c r="O26" s="263"/>
      <c r="P26" s="263"/>
    </row>
    <row r="27" spans="1:16" x14ac:dyDescent="0.25">
      <c r="A27" s="117"/>
      <c r="B27" s="124"/>
      <c r="C27" s="125" t="s">
        <v>121</v>
      </c>
      <c r="D27" s="125"/>
      <c r="E27" s="125"/>
      <c r="F27" s="126"/>
      <c r="G27" s="126"/>
      <c r="H27" s="126"/>
      <c r="I27" s="126"/>
      <c r="J27" s="126"/>
      <c r="K27" s="126"/>
      <c r="L27" s="126"/>
      <c r="M27" s="126"/>
      <c r="N27" s="126"/>
      <c r="O27" s="126"/>
      <c r="P27" s="263"/>
    </row>
    <row r="28" spans="1:16" x14ac:dyDescent="0.25">
      <c r="A28" s="117"/>
      <c r="B28" s="124"/>
      <c r="C28" s="124"/>
      <c r="D28" s="124"/>
      <c r="E28" s="124"/>
      <c r="F28" s="128"/>
      <c r="G28" s="128"/>
      <c r="H28" s="128"/>
      <c r="I28" s="128"/>
      <c r="J28" s="128"/>
      <c r="K28" s="128"/>
      <c r="L28" s="128"/>
      <c r="M28" s="128"/>
      <c r="N28" s="128"/>
      <c r="O28" s="128"/>
      <c r="P28" s="263"/>
    </row>
    <row r="29" spans="1:16" x14ac:dyDescent="0.25">
      <c r="A29" s="263"/>
      <c r="B29" s="263"/>
      <c r="C29" s="263" t="s">
        <v>121</v>
      </c>
      <c r="D29" s="263" t="s">
        <v>61</v>
      </c>
      <c r="E29" s="263" t="s">
        <v>50</v>
      </c>
      <c r="F29" s="263" t="s">
        <v>152</v>
      </c>
      <c r="G29" s="673">
        <f>Inputs_Delivery_Effort!BJ41</f>
        <v>93.72</v>
      </c>
      <c r="H29" s="673">
        <f>Inputs_Delivery_Effort!BK41</f>
        <v>104.28</v>
      </c>
      <c r="I29" s="673">
        <f>Inputs_Delivery_Effort!BL41</f>
        <v>93.72</v>
      </c>
      <c r="J29" s="673">
        <f>Inputs_Delivery_Effort!BM41</f>
        <v>93.72</v>
      </c>
      <c r="K29" s="673">
        <f>Inputs_Delivery_Effort!BN41</f>
        <v>0</v>
      </c>
      <c r="L29" s="673">
        <f>Inputs_Delivery_Effort!BO41</f>
        <v>0</v>
      </c>
      <c r="M29" s="673">
        <f>Inputs_Delivery_Effort!BP41</f>
        <v>46.86</v>
      </c>
      <c r="N29" s="673">
        <f>Inputs_Delivery_Effort!BQ41</f>
        <v>0</v>
      </c>
      <c r="O29" s="673">
        <f>Inputs_Delivery_Effort!BR41</f>
        <v>46.86</v>
      </c>
      <c r="P29" s="263"/>
    </row>
    <row r="30" spans="1:16" x14ac:dyDescent="0.25">
      <c r="A30" s="263"/>
      <c r="B30" s="263"/>
      <c r="C30" s="263" t="s">
        <v>121</v>
      </c>
      <c r="D30" s="263" t="s">
        <v>30</v>
      </c>
      <c r="E30" s="263" t="s">
        <v>50</v>
      </c>
      <c r="F30" s="263" t="s">
        <v>119</v>
      </c>
      <c r="G30" s="677">
        <f>Inputs_Delivery_Effort!BJ42</f>
        <v>0</v>
      </c>
      <c r="H30" s="677">
        <f>Inputs_Delivery_Effort!BK42</f>
        <v>10000</v>
      </c>
      <c r="I30" s="677">
        <f>Inputs_Delivery_Effort!BL42</f>
        <v>0</v>
      </c>
      <c r="J30" s="677">
        <f>Inputs_Delivery_Effort!BM42</f>
        <v>0</v>
      </c>
      <c r="K30" s="677">
        <f>Inputs_Delivery_Effort!BN42</f>
        <v>0</v>
      </c>
      <c r="L30" s="677">
        <f>Inputs_Delivery_Effort!BO42</f>
        <v>0</v>
      </c>
      <c r="M30" s="677">
        <f>Inputs_Delivery_Effort!BP42</f>
        <v>0</v>
      </c>
      <c r="N30" s="677">
        <f>Inputs_Delivery_Effort!BQ42</f>
        <v>0</v>
      </c>
      <c r="O30" s="677">
        <f>Inputs_Delivery_Effort!BR42</f>
        <v>0</v>
      </c>
      <c r="P30" s="263"/>
    </row>
    <row r="31" spans="1:16" x14ac:dyDescent="0.25">
      <c r="A31" s="263"/>
      <c r="B31" s="263"/>
      <c r="C31" s="263" t="s">
        <v>121</v>
      </c>
      <c r="D31" s="263" t="s">
        <v>30</v>
      </c>
      <c r="E31" s="263" t="s">
        <v>43</v>
      </c>
      <c r="F31" s="263"/>
      <c r="G31" s="675">
        <f t="shared" ref="G31:O31" si="6">(G29*IT_Consultant_Daily_Rate)+G30</f>
        <v>46860</v>
      </c>
      <c r="H31" s="675">
        <f t="shared" si="6"/>
        <v>62140</v>
      </c>
      <c r="I31" s="675">
        <f t="shared" si="6"/>
        <v>46860</v>
      </c>
      <c r="J31" s="675">
        <f t="shared" si="6"/>
        <v>46860</v>
      </c>
      <c r="K31" s="675">
        <f t="shared" si="6"/>
        <v>0</v>
      </c>
      <c r="L31" s="675">
        <f t="shared" si="6"/>
        <v>0</v>
      </c>
      <c r="M31" s="675">
        <f t="shared" si="6"/>
        <v>23430</v>
      </c>
      <c r="N31" s="675">
        <f t="shared" si="6"/>
        <v>0</v>
      </c>
      <c r="O31" s="675">
        <f t="shared" si="6"/>
        <v>23430</v>
      </c>
      <c r="P31" s="263"/>
    </row>
    <row r="32" spans="1:16" x14ac:dyDescent="0.25">
      <c r="A32" s="263"/>
      <c r="B32" s="263"/>
      <c r="C32" s="263"/>
      <c r="D32" s="263"/>
      <c r="E32" s="263"/>
      <c r="F32" s="263"/>
      <c r="G32" s="263"/>
      <c r="H32" s="263"/>
      <c r="I32" s="263"/>
      <c r="J32" s="263"/>
      <c r="K32" s="263"/>
      <c r="L32" s="263"/>
      <c r="M32" s="263"/>
      <c r="N32" s="263"/>
      <c r="O32" s="263"/>
      <c r="P32" s="263"/>
    </row>
    <row r="33" spans="1:16" x14ac:dyDescent="0.25">
      <c r="A33" s="263"/>
      <c r="B33" s="263"/>
      <c r="C33" s="263" t="s">
        <v>121</v>
      </c>
      <c r="D33" s="263" t="s">
        <v>49</v>
      </c>
      <c r="E33" s="263" t="s">
        <v>47</v>
      </c>
      <c r="F33" s="263" t="s">
        <v>120</v>
      </c>
      <c r="G33" s="37">
        <f>Inputs_Delivery_Effort!BJ43</f>
        <v>0.2</v>
      </c>
      <c r="H33" s="37">
        <f>Inputs_Delivery_Effort!BK43</f>
        <v>0.2</v>
      </c>
      <c r="I33" s="37">
        <f>Inputs_Delivery_Effort!BL43</f>
        <v>0.2</v>
      </c>
      <c r="J33" s="37">
        <f>Inputs_Delivery_Effort!BM43</f>
        <v>0.2</v>
      </c>
      <c r="K33" s="37">
        <f>Inputs_Delivery_Effort!BN43</f>
        <v>0.2</v>
      </c>
      <c r="L33" s="37">
        <f>Inputs_Delivery_Effort!BO43</f>
        <v>0.2</v>
      </c>
      <c r="M33" s="37">
        <f>Inputs_Delivery_Effort!BP43</f>
        <v>0.2</v>
      </c>
      <c r="N33" s="37">
        <f>Inputs_Delivery_Effort!BQ43</f>
        <v>0.2</v>
      </c>
      <c r="O33" s="37">
        <f>Inputs_Delivery_Effort!BR43</f>
        <v>0.2</v>
      </c>
      <c r="P33" s="263"/>
    </row>
    <row r="34" spans="1:16" x14ac:dyDescent="0.25">
      <c r="A34" s="263"/>
      <c r="B34" s="263"/>
      <c r="C34" s="263" t="s">
        <v>121</v>
      </c>
      <c r="D34" s="263" t="s">
        <v>30</v>
      </c>
      <c r="E34" s="263" t="s">
        <v>42</v>
      </c>
      <c r="F34" s="263"/>
      <c r="G34" s="675">
        <f t="shared" ref="G34:O34" si="7">(G29*IT_Consultant_Daily_Rate)*G33</f>
        <v>9372</v>
      </c>
      <c r="H34" s="675">
        <f t="shared" si="7"/>
        <v>10428</v>
      </c>
      <c r="I34" s="675">
        <f t="shared" si="7"/>
        <v>9372</v>
      </c>
      <c r="J34" s="675">
        <f t="shared" si="7"/>
        <v>9372</v>
      </c>
      <c r="K34" s="675">
        <f t="shared" si="7"/>
        <v>0</v>
      </c>
      <c r="L34" s="675">
        <f t="shared" si="7"/>
        <v>0</v>
      </c>
      <c r="M34" s="675">
        <f t="shared" si="7"/>
        <v>4686</v>
      </c>
      <c r="N34" s="675">
        <f t="shared" si="7"/>
        <v>0</v>
      </c>
      <c r="O34" s="675">
        <f t="shared" si="7"/>
        <v>4686</v>
      </c>
      <c r="P34" s="263"/>
    </row>
    <row r="35" spans="1:16" x14ac:dyDescent="0.25">
      <c r="A35" s="263"/>
      <c r="B35" s="263"/>
      <c r="C35" s="263"/>
      <c r="D35" s="263"/>
      <c r="E35" s="263"/>
      <c r="F35" s="263"/>
      <c r="G35" s="263"/>
      <c r="H35" s="263"/>
      <c r="I35" s="263"/>
      <c r="J35" s="263"/>
      <c r="K35" s="263"/>
      <c r="L35" s="263"/>
      <c r="M35" s="263"/>
      <c r="N35" s="263"/>
      <c r="O35" s="263"/>
      <c r="P35" s="263"/>
    </row>
    <row r="36" spans="1:16" x14ac:dyDescent="0.25">
      <c r="A36" s="117"/>
      <c r="B36" s="124"/>
      <c r="C36" s="125" t="s">
        <v>146</v>
      </c>
      <c r="D36" s="125"/>
      <c r="E36" s="125"/>
      <c r="F36" s="126"/>
      <c r="G36" s="126"/>
      <c r="H36" s="126"/>
      <c r="I36" s="126"/>
      <c r="J36" s="126"/>
      <c r="K36" s="126"/>
      <c r="L36" s="126"/>
      <c r="M36" s="126"/>
      <c r="N36" s="126"/>
      <c r="O36" s="126"/>
      <c r="P36" s="263"/>
    </row>
    <row r="37" spans="1:16" x14ac:dyDescent="0.25">
      <c r="A37" s="117"/>
      <c r="B37" s="124"/>
      <c r="C37" s="124"/>
      <c r="D37" s="124"/>
      <c r="E37" s="124"/>
      <c r="F37" s="128"/>
      <c r="G37" s="128"/>
      <c r="H37" s="128"/>
      <c r="I37" s="128"/>
      <c r="J37" s="128"/>
      <c r="K37" s="128"/>
      <c r="L37" s="128"/>
      <c r="M37" s="128"/>
      <c r="N37" s="128"/>
      <c r="O37" s="128"/>
      <c r="P37" s="263"/>
    </row>
    <row r="38" spans="1:16" x14ac:dyDescent="0.25">
      <c r="A38" s="263"/>
      <c r="B38" s="263"/>
      <c r="C38" s="263" t="s">
        <v>146</v>
      </c>
      <c r="D38" s="263" t="s">
        <v>61</v>
      </c>
      <c r="E38" s="263" t="s">
        <v>50</v>
      </c>
      <c r="F38" s="263" t="s">
        <v>152</v>
      </c>
      <c r="G38" s="673">
        <f>Inputs_Delivery_Effort!BJ44</f>
        <v>30.360000000000003</v>
      </c>
      <c r="H38" s="673">
        <f>Inputs_Delivery_Effort!BK44</f>
        <v>40.920000000000009</v>
      </c>
      <c r="I38" s="673">
        <f>Inputs_Delivery_Effort!BL44</f>
        <v>30.360000000000003</v>
      </c>
      <c r="J38" s="673">
        <f>Inputs_Delivery_Effort!BM44</f>
        <v>30.360000000000003</v>
      </c>
      <c r="K38" s="673">
        <f>Inputs_Delivery_Effort!BN44</f>
        <v>0</v>
      </c>
      <c r="L38" s="673">
        <f>Inputs_Delivery_Effort!BO44</f>
        <v>0</v>
      </c>
      <c r="M38" s="673">
        <f>Inputs_Delivery_Effort!BP44</f>
        <v>15.180000000000001</v>
      </c>
      <c r="N38" s="673">
        <f>Inputs_Delivery_Effort!BQ44</f>
        <v>0</v>
      </c>
      <c r="O38" s="673">
        <f>Inputs_Delivery_Effort!BR44</f>
        <v>15.180000000000001</v>
      </c>
      <c r="P38" s="263"/>
    </row>
    <row r="39" spans="1:16" x14ac:dyDescent="0.25">
      <c r="A39" s="263"/>
      <c r="B39" s="263"/>
      <c r="C39" s="263" t="s">
        <v>146</v>
      </c>
      <c r="D39" s="263" t="s">
        <v>30</v>
      </c>
      <c r="E39" s="263" t="s">
        <v>50</v>
      </c>
      <c r="F39" s="263" t="s">
        <v>119</v>
      </c>
      <c r="G39" s="677">
        <f>Inputs_Delivery_Effort!BJ45</f>
        <v>0</v>
      </c>
      <c r="H39" s="677">
        <f>Inputs_Delivery_Effort!BK45</f>
        <v>10000</v>
      </c>
      <c r="I39" s="677">
        <f>Inputs_Delivery_Effort!BL45</f>
        <v>0</v>
      </c>
      <c r="J39" s="677">
        <f>Inputs_Delivery_Effort!BM45</f>
        <v>0</v>
      </c>
      <c r="K39" s="677">
        <f>Inputs_Delivery_Effort!BN45</f>
        <v>0</v>
      </c>
      <c r="L39" s="677">
        <f>Inputs_Delivery_Effort!BO45</f>
        <v>0</v>
      </c>
      <c r="M39" s="677">
        <f>Inputs_Delivery_Effort!BP45</f>
        <v>0</v>
      </c>
      <c r="N39" s="677">
        <f>Inputs_Delivery_Effort!BQ45</f>
        <v>0</v>
      </c>
      <c r="O39" s="677">
        <f>Inputs_Delivery_Effort!BR45</f>
        <v>0</v>
      </c>
      <c r="P39" s="263"/>
    </row>
    <row r="40" spans="1:16" x14ac:dyDescent="0.25">
      <c r="A40" s="263"/>
      <c r="B40" s="263"/>
      <c r="C40" s="263" t="s">
        <v>146</v>
      </c>
      <c r="D40" s="263" t="s">
        <v>30</v>
      </c>
      <c r="E40" s="263" t="s">
        <v>43</v>
      </c>
      <c r="F40" s="263"/>
      <c r="G40" s="675">
        <f t="shared" ref="G40:O40" si="8">(G38*IT_Consultant_Daily_Rate)+G39</f>
        <v>15180.000000000002</v>
      </c>
      <c r="H40" s="675">
        <f t="shared" si="8"/>
        <v>30460.000000000004</v>
      </c>
      <c r="I40" s="675">
        <f t="shared" si="8"/>
        <v>15180.000000000002</v>
      </c>
      <c r="J40" s="675">
        <f t="shared" si="8"/>
        <v>15180.000000000002</v>
      </c>
      <c r="K40" s="675">
        <f t="shared" si="8"/>
        <v>0</v>
      </c>
      <c r="L40" s="675">
        <f t="shared" si="8"/>
        <v>0</v>
      </c>
      <c r="M40" s="675">
        <f t="shared" si="8"/>
        <v>7590.0000000000009</v>
      </c>
      <c r="N40" s="675">
        <f t="shared" si="8"/>
        <v>0</v>
      </c>
      <c r="O40" s="675">
        <f t="shared" si="8"/>
        <v>7590.0000000000009</v>
      </c>
      <c r="P40" s="263"/>
    </row>
    <row r="41" spans="1:16" x14ac:dyDescent="0.25">
      <c r="A41" s="263"/>
      <c r="B41" s="263"/>
      <c r="C41" s="263"/>
      <c r="D41" s="263"/>
      <c r="E41" s="263"/>
      <c r="F41" s="263"/>
      <c r="G41" s="263"/>
      <c r="H41" s="263"/>
      <c r="I41" s="263"/>
      <c r="J41" s="263"/>
      <c r="K41" s="263"/>
      <c r="L41" s="263"/>
      <c r="M41" s="263"/>
      <c r="N41" s="263"/>
      <c r="O41" s="263"/>
      <c r="P41" s="263"/>
    </row>
    <row r="42" spans="1:16" x14ac:dyDescent="0.25">
      <c r="A42" s="263"/>
      <c r="B42" s="263"/>
      <c r="C42" s="263" t="s">
        <v>146</v>
      </c>
      <c r="D42" s="263" t="s">
        <v>49</v>
      </c>
      <c r="E42" s="263" t="s">
        <v>47</v>
      </c>
      <c r="F42" s="263" t="s">
        <v>120</v>
      </c>
      <c r="G42" s="37">
        <f>Inputs_Delivery_Effort!BJ46</f>
        <v>0.2</v>
      </c>
      <c r="H42" s="37">
        <f>Inputs_Delivery_Effort!BK46</f>
        <v>0.2</v>
      </c>
      <c r="I42" s="37">
        <f>Inputs_Delivery_Effort!BL46</f>
        <v>0.2</v>
      </c>
      <c r="J42" s="37">
        <f>Inputs_Delivery_Effort!BM46</f>
        <v>0.2</v>
      </c>
      <c r="K42" s="37">
        <f>Inputs_Delivery_Effort!BN46</f>
        <v>0.2</v>
      </c>
      <c r="L42" s="37">
        <f>Inputs_Delivery_Effort!BO46</f>
        <v>0.2</v>
      </c>
      <c r="M42" s="37">
        <f>Inputs_Delivery_Effort!BP46</f>
        <v>0.2</v>
      </c>
      <c r="N42" s="37">
        <f>Inputs_Delivery_Effort!BQ46</f>
        <v>0.2</v>
      </c>
      <c r="O42" s="37">
        <f>Inputs_Delivery_Effort!BR46</f>
        <v>0.2</v>
      </c>
      <c r="P42" s="263"/>
    </row>
    <row r="43" spans="1:16" x14ac:dyDescent="0.25">
      <c r="A43" s="263"/>
      <c r="B43" s="263"/>
      <c r="C43" s="263" t="s">
        <v>146</v>
      </c>
      <c r="D43" s="263" t="s">
        <v>30</v>
      </c>
      <c r="E43" s="263" t="s">
        <v>42</v>
      </c>
      <c r="F43" s="263"/>
      <c r="G43" s="675">
        <f t="shared" ref="G43:O43" si="9">(G38*IT_Consultant_Daily_Rate)*G42</f>
        <v>3036.0000000000005</v>
      </c>
      <c r="H43" s="675">
        <f t="shared" si="9"/>
        <v>4092.0000000000009</v>
      </c>
      <c r="I43" s="675">
        <f t="shared" si="9"/>
        <v>3036.0000000000005</v>
      </c>
      <c r="J43" s="675">
        <f t="shared" si="9"/>
        <v>3036.0000000000005</v>
      </c>
      <c r="K43" s="675">
        <f t="shared" si="9"/>
        <v>0</v>
      </c>
      <c r="L43" s="675">
        <f t="shared" si="9"/>
        <v>0</v>
      </c>
      <c r="M43" s="675">
        <f t="shared" si="9"/>
        <v>1518.0000000000002</v>
      </c>
      <c r="N43" s="675">
        <f t="shared" si="9"/>
        <v>0</v>
      </c>
      <c r="O43" s="675">
        <f t="shared" si="9"/>
        <v>1518.0000000000002</v>
      </c>
      <c r="P43" s="263"/>
    </row>
    <row r="44" spans="1:16" x14ac:dyDescent="0.25">
      <c r="A44" s="263"/>
      <c r="B44" s="263"/>
      <c r="C44" s="263"/>
      <c r="D44" s="263"/>
      <c r="E44" s="263"/>
      <c r="F44" s="263"/>
      <c r="G44" s="263"/>
      <c r="H44" s="263"/>
      <c r="I44" s="263"/>
      <c r="J44" s="263"/>
      <c r="K44" s="263"/>
      <c r="L44" s="263"/>
      <c r="M44" s="263"/>
      <c r="N44" s="263"/>
      <c r="O44" s="263"/>
      <c r="P44" s="263"/>
    </row>
    <row r="45" spans="1:16" x14ac:dyDescent="0.25">
      <c r="A45" s="117"/>
      <c r="B45" s="124"/>
      <c r="C45" s="125" t="s">
        <v>141</v>
      </c>
      <c r="D45" s="125"/>
      <c r="E45" s="125"/>
      <c r="F45" s="126"/>
      <c r="G45" s="126"/>
      <c r="H45" s="126"/>
      <c r="I45" s="126"/>
      <c r="J45" s="126"/>
      <c r="K45" s="126"/>
      <c r="L45" s="126"/>
      <c r="M45" s="126"/>
      <c r="N45" s="126"/>
      <c r="O45" s="126"/>
      <c r="P45" s="263"/>
    </row>
    <row r="46" spans="1:16" x14ac:dyDescent="0.25">
      <c r="A46" s="117"/>
      <c r="B46" s="124"/>
      <c r="C46" s="124"/>
      <c r="D46" s="124"/>
      <c r="E46" s="124"/>
      <c r="F46" s="128"/>
      <c r="G46" s="128"/>
      <c r="H46" s="128"/>
      <c r="I46" s="128"/>
      <c r="J46" s="128"/>
      <c r="K46" s="128"/>
      <c r="L46" s="128"/>
      <c r="M46" s="128"/>
      <c r="N46" s="128"/>
      <c r="O46" s="128"/>
      <c r="P46" s="263"/>
    </row>
    <row r="47" spans="1:16" x14ac:dyDescent="0.25">
      <c r="A47" s="263"/>
      <c r="B47" s="263"/>
      <c r="C47" s="263" t="s">
        <v>141</v>
      </c>
      <c r="D47" s="263" t="s">
        <v>61</v>
      </c>
      <c r="E47" s="263" t="s">
        <v>50</v>
      </c>
      <c r="F47" s="263" t="s">
        <v>152</v>
      </c>
      <c r="G47" s="673">
        <f>Inputs_Delivery_Effort!BJ47</f>
        <v>85.8</v>
      </c>
      <c r="H47" s="673">
        <f>Inputs_Delivery_Effort!BK47</f>
        <v>96.36</v>
      </c>
      <c r="I47" s="673">
        <f>Inputs_Delivery_Effort!BL47</f>
        <v>85.8</v>
      </c>
      <c r="J47" s="673">
        <f>Inputs_Delivery_Effort!BM47</f>
        <v>85.8</v>
      </c>
      <c r="K47" s="673">
        <f>Inputs_Delivery_Effort!BN47</f>
        <v>0</v>
      </c>
      <c r="L47" s="673">
        <f>Inputs_Delivery_Effort!BO47</f>
        <v>0</v>
      </c>
      <c r="M47" s="673">
        <f>Inputs_Delivery_Effort!BP47</f>
        <v>42.9</v>
      </c>
      <c r="N47" s="673">
        <f>Inputs_Delivery_Effort!BQ47</f>
        <v>0</v>
      </c>
      <c r="O47" s="673">
        <f>Inputs_Delivery_Effort!BR47</f>
        <v>42.9</v>
      </c>
      <c r="P47" s="263"/>
    </row>
    <row r="48" spans="1:16" x14ac:dyDescent="0.25">
      <c r="A48" s="263"/>
      <c r="B48" s="263"/>
      <c r="C48" s="263" t="s">
        <v>141</v>
      </c>
      <c r="D48" s="263" t="s">
        <v>30</v>
      </c>
      <c r="E48" s="263" t="s">
        <v>50</v>
      </c>
      <c r="F48" s="263" t="s">
        <v>119</v>
      </c>
      <c r="G48" s="677">
        <f>Inputs_Delivery_Effort!BJ48</f>
        <v>0</v>
      </c>
      <c r="H48" s="677">
        <f>Inputs_Delivery_Effort!BK48</f>
        <v>10000</v>
      </c>
      <c r="I48" s="677">
        <f>Inputs_Delivery_Effort!BL48</f>
        <v>0</v>
      </c>
      <c r="J48" s="677">
        <f>Inputs_Delivery_Effort!BM48</f>
        <v>0</v>
      </c>
      <c r="K48" s="677">
        <f>Inputs_Delivery_Effort!BN48</f>
        <v>0</v>
      </c>
      <c r="L48" s="677">
        <f>Inputs_Delivery_Effort!BO48</f>
        <v>0</v>
      </c>
      <c r="M48" s="677">
        <f>Inputs_Delivery_Effort!BP48</f>
        <v>0</v>
      </c>
      <c r="N48" s="677">
        <f>Inputs_Delivery_Effort!BQ48</f>
        <v>0</v>
      </c>
      <c r="O48" s="677">
        <f>Inputs_Delivery_Effort!BR48</f>
        <v>0</v>
      </c>
      <c r="P48" s="263"/>
    </row>
    <row r="49" spans="1:16" x14ac:dyDescent="0.25">
      <c r="A49" s="263"/>
      <c r="B49" s="263"/>
      <c r="C49" s="263" t="s">
        <v>141</v>
      </c>
      <c r="D49" s="263" t="s">
        <v>30</v>
      </c>
      <c r="E49" s="263" t="s">
        <v>43</v>
      </c>
      <c r="F49" s="263"/>
      <c r="G49" s="675">
        <f t="shared" ref="G49:O49" si="10">(G47*IT_Consultant_Daily_Rate)+G48</f>
        <v>42900</v>
      </c>
      <c r="H49" s="675">
        <f t="shared" si="10"/>
        <v>58180</v>
      </c>
      <c r="I49" s="675">
        <f t="shared" si="10"/>
        <v>42900</v>
      </c>
      <c r="J49" s="675">
        <f t="shared" si="10"/>
        <v>42900</v>
      </c>
      <c r="K49" s="675">
        <f t="shared" si="10"/>
        <v>0</v>
      </c>
      <c r="L49" s="675">
        <f t="shared" si="10"/>
        <v>0</v>
      </c>
      <c r="M49" s="675">
        <f t="shared" si="10"/>
        <v>21450</v>
      </c>
      <c r="N49" s="675">
        <f t="shared" si="10"/>
        <v>0</v>
      </c>
      <c r="O49" s="675">
        <f t="shared" si="10"/>
        <v>21450</v>
      </c>
      <c r="P49" s="263"/>
    </row>
    <row r="50" spans="1:16" x14ac:dyDescent="0.25">
      <c r="A50" s="263"/>
      <c r="B50" s="263"/>
      <c r="C50" s="263"/>
      <c r="D50" s="263"/>
      <c r="E50" s="263"/>
      <c r="F50" s="263"/>
      <c r="G50" s="263"/>
      <c r="H50" s="263"/>
      <c r="I50" s="263"/>
      <c r="J50" s="263"/>
      <c r="K50" s="263"/>
      <c r="L50" s="263"/>
      <c r="M50" s="263"/>
      <c r="N50" s="263"/>
      <c r="O50" s="263"/>
      <c r="P50" s="263"/>
    </row>
    <row r="51" spans="1:16" x14ac:dyDescent="0.25">
      <c r="A51" s="263"/>
      <c r="B51" s="263"/>
      <c r="C51" s="263" t="s">
        <v>141</v>
      </c>
      <c r="D51" s="263" t="s">
        <v>49</v>
      </c>
      <c r="E51" s="263" t="s">
        <v>47</v>
      </c>
      <c r="F51" s="263" t="s">
        <v>120</v>
      </c>
      <c r="G51" s="37">
        <f>Inputs_Delivery_Effort!BJ49</f>
        <v>0.2</v>
      </c>
      <c r="H51" s="37">
        <f>Inputs_Delivery_Effort!BK49</f>
        <v>0.2</v>
      </c>
      <c r="I51" s="37">
        <f>Inputs_Delivery_Effort!BL49</f>
        <v>0.2</v>
      </c>
      <c r="J51" s="37">
        <f>Inputs_Delivery_Effort!BM49</f>
        <v>0.2</v>
      </c>
      <c r="K51" s="37">
        <f>Inputs_Delivery_Effort!BN49</f>
        <v>0.2</v>
      </c>
      <c r="L51" s="37">
        <f>Inputs_Delivery_Effort!BO49</f>
        <v>0.2</v>
      </c>
      <c r="M51" s="37">
        <f>Inputs_Delivery_Effort!BP49</f>
        <v>0.2</v>
      </c>
      <c r="N51" s="37">
        <f>Inputs_Delivery_Effort!BQ49</f>
        <v>0.2</v>
      </c>
      <c r="O51" s="37">
        <f>Inputs_Delivery_Effort!BR49</f>
        <v>0.2</v>
      </c>
      <c r="P51" s="263"/>
    </row>
    <row r="52" spans="1:16" x14ac:dyDescent="0.25">
      <c r="A52" s="263"/>
      <c r="B52" s="263"/>
      <c r="C52" s="263" t="s">
        <v>141</v>
      </c>
      <c r="D52" s="263" t="s">
        <v>30</v>
      </c>
      <c r="E52" s="263" t="s">
        <v>42</v>
      </c>
      <c r="F52" s="263"/>
      <c r="G52" s="675">
        <f t="shared" ref="G52:O52" si="11">(G47*IT_Consultant_Daily_Rate)*G51</f>
        <v>8580</v>
      </c>
      <c r="H52" s="675">
        <f t="shared" si="11"/>
        <v>9636</v>
      </c>
      <c r="I52" s="675">
        <f t="shared" si="11"/>
        <v>8580</v>
      </c>
      <c r="J52" s="675">
        <f t="shared" si="11"/>
        <v>8580</v>
      </c>
      <c r="K52" s="675">
        <f t="shared" si="11"/>
        <v>0</v>
      </c>
      <c r="L52" s="675">
        <f t="shared" si="11"/>
        <v>0</v>
      </c>
      <c r="M52" s="675">
        <f t="shared" si="11"/>
        <v>4290</v>
      </c>
      <c r="N52" s="675">
        <f t="shared" si="11"/>
        <v>0</v>
      </c>
      <c r="O52" s="675">
        <f t="shared" si="11"/>
        <v>4290</v>
      </c>
      <c r="P52" s="263"/>
    </row>
    <row r="53" spans="1:16" x14ac:dyDescent="0.25">
      <c r="A53" s="263"/>
      <c r="B53" s="263"/>
      <c r="C53" s="263"/>
      <c r="D53" s="263"/>
      <c r="E53" s="263"/>
      <c r="F53" s="263"/>
      <c r="G53" s="263"/>
      <c r="H53" s="263"/>
      <c r="I53" s="263"/>
      <c r="J53" s="263"/>
      <c r="K53" s="263"/>
      <c r="L53" s="263"/>
      <c r="M53" s="263"/>
      <c r="N53" s="263"/>
      <c r="O53" s="263"/>
      <c r="P53" s="263"/>
    </row>
    <row r="54" spans="1:16" x14ac:dyDescent="0.25">
      <c r="A54" s="117"/>
      <c r="B54" s="124"/>
      <c r="C54" s="125" t="s">
        <v>142</v>
      </c>
      <c r="D54" s="125"/>
      <c r="E54" s="125"/>
      <c r="F54" s="126"/>
      <c r="G54" s="126"/>
      <c r="H54" s="126"/>
      <c r="I54" s="126"/>
      <c r="J54" s="126"/>
      <c r="K54" s="126"/>
      <c r="L54" s="126"/>
      <c r="M54" s="126"/>
      <c r="N54" s="126"/>
      <c r="O54" s="126"/>
      <c r="P54" s="263"/>
    </row>
    <row r="55" spans="1:16" x14ac:dyDescent="0.25">
      <c r="A55" s="117"/>
      <c r="B55" s="124"/>
      <c r="C55" s="124"/>
      <c r="D55" s="124"/>
      <c r="E55" s="124"/>
      <c r="F55" s="128"/>
      <c r="G55" s="128"/>
      <c r="H55" s="128"/>
      <c r="I55" s="128"/>
      <c r="J55" s="128"/>
      <c r="K55" s="128"/>
      <c r="L55" s="128"/>
      <c r="M55" s="128"/>
      <c r="N55" s="128"/>
      <c r="O55" s="128"/>
      <c r="P55" s="263"/>
    </row>
    <row r="56" spans="1:16" x14ac:dyDescent="0.25">
      <c r="A56" s="263"/>
      <c r="B56" s="263"/>
      <c r="C56" s="263" t="s">
        <v>142</v>
      </c>
      <c r="D56" s="263" t="s">
        <v>61</v>
      </c>
      <c r="E56" s="263" t="s">
        <v>50</v>
      </c>
      <c r="F56" s="263" t="s">
        <v>152</v>
      </c>
      <c r="G56" s="673">
        <f>Inputs_Delivery_Effort!BJ50</f>
        <v>138.84750000000003</v>
      </c>
      <c r="H56" s="673">
        <f>Inputs_Delivery_Effort!BK50</f>
        <v>138.84750000000003</v>
      </c>
      <c r="I56" s="673">
        <f>Inputs_Delivery_Effort!BL50</f>
        <v>138.84750000000003</v>
      </c>
      <c r="J56" s="673">
        <f>Inputs_Delivery_Effort!BM50</f>
        <v>138.84750000000003</v>
      </c>
      <c r="K56" s="673">
        <f>Inputs_Delivery_Effort!BN50</f>
        <v>0</v>
      </c>
      <c r="L56" s="673">
        <f>Inputs_Delivery_Effort!BO50</f>
        <v>0</v>
      </c>
      <c r="M56" s="673">
        <f>Inputs_Delivery_Effort!BP50</f>
        <v>69.423750000000013</v>
      </c>
      <c r="N56" s="673">
        <f>Inputs_Delivery_Effort!BQ50</f>
        <v>0</v>
      </c>
      <c r="O56" s="673">
        <f>Inputs_Delivery_Effort!BR50</f>
        <v>69.423750000000013</v>
      </c>
      <c r="P56" s="263"/>
    </row>
    <row r="57" spans="1:16" x14ac:dyDescent="0.25">
      <c r="A57" s="263"/>
      <c r="B57" s="263"/>
      <c r="C57" s="263" t="s">
        <v>142</v>
      </c>
      <c r="D57" s="263" t="s">
        <v>30</v>
      </c>
      <c r="E57" s="263" t="s">
        <v>50</v>
      </c>
      <c r="F57" s="263" t="s">
        <v>119</v>
      </c>
      <c r="G57" s="677">
        <f>Inputs_Delivery_Effort!BJ51</f>
        <v>0</v>
      </c>
      <c r="H57" s="677">
        <f>Inputs_Delivery_Effort!BK51</f>
        <v>0</v>
      </c>
      <c r="I57" s="677">
        <f>Inputs_Delivery_Effort!BL51</f>
        <v>0</v>
      </c>
      <c r="J57" s="677">
        <f>Inputs_Delivery_Effort!BM51</f>
        <v>0</v>
      </c>
      <c r="K57" s="677">
        <f>Inputs_Delivery_Effort!BN51</f>
        <v>0</v>
      </c>
      <c r="L57" s="677">
        <f>Inputs_Delivery_Effort!BO51</f>
        <v>0</v>
      </c>
      <c r="M57" s="677">
        <f>Inputs_Delivery_Effort!BP51</f>
        <v>0</v>
      </c>
      <c r="N57" s="677">
        <f>Inputs_Delivery_Effort!BQ51</f>
        <v>0</v>
      </c>
      <c r="O57" s="677">
        <f>Inputs_Delivery_Effort!BR51</f>
        <v>0</v>
      </c>
      <c r="P57" s="263"/>
    </row>
    <row r="58" spans="1:16" x14ac:dyDescent="0.25">
      <c r="A58" s="263"/>
      <c r="B58" s="263"/>
      <c r="C58" s="263" t="s">
        <v>142</v>
      </c>
      <c r="D58" s="263" t="s">
        <v>30</v>
      </c>
      <c r="E58" s="263" t="s">
        <v>43</v>
      </c>
      <c r="F58" s="263"/>
      <c r="G58" s="675">
        <f t="shared" ref="G58:O58" si="12">(G56*IT_Consultant_Daily_Rate)+G57</f>
        <v>69423.750000000015</v>
      </c>
      <c r="H58" s="675">
        <f t="shared" si="12"/>
        <v>69423.750000000015</v>
      </c>
      <c r="I58" s="675">
        <f t="shared" si="12"/>
        <v>69423.750000000015</v>
      </c>
      <c r="J58" s="675">
        <f t="shared" si="12"/>
        <v>69423.750000000015</v>
      </c>
      <c r="K58" s="675">
        <f t="shared" si="12"/>
        <v>0</v>
      </c>
      <c r="L58" s="675">
        <f t="shared" si="12"/>
        <v>0</v>
      </c>
      <c r="M58" s="675">
        <f t="shared" si="12"/>
        <v>34711.875000000007</v>
      </c>
      <c r="N58" s="675">
        <f t="shared" si="12"/>
        <v>0</v>
      </c>
      <c r="O58" s="675">
        <f t="shared" si="12"/>
        <v>34711.875000000007</v>
      </c>
      <c r="P58" s="263"/>
    </row>
    <row r="59" spans="1:16" x14ac:dyDescent="0.25">
      <c r="A59" s="263"/>
      <c r="B59" s="263"/>
      <c r="C59" s="263"/>
      <c r="D59" s="263"/>
      <c r="E59" s="263"/>
      <c r="F59" s="263"/>
      <c r="G59" s="263"/>
      <c r="H59" s="263"/>
      <c r="I59" s="263"/>
      <c r="J59" s="263"/>
      <c r="K59" s="263"/>
      <c r="L59" s="263"/>
      <c r="M59" s="263"/>
      <c r="N59" s="263"/>
      <c r="O59" s="263"/>
      <c r="P59" s="263"/>
    </row>
    <row r="60" spans="1:16" x14ac:dyDescent="0.25">
      <c r="A60" s="263"/>
      <c r="B60" s="263"/>
      <c r="C60" s="263" t="s">
        <v>142</v>
      </c>
      <c r="D60" s="263" t="s">
        <v>49</v>
      </c>
      <c r="E60" s="263" t="s">
        <v>47</v>
      </c>
      <c r="F60" s="263" t="s">
        <v>120</v>
      </c>
      <c r="G60" s="37">
        <f>Inputs_Delivery_Effort!BJ52</f>
        <v>0.2</v>
      </c>
      <c r="H60" s="37">
        <f>Inputs_Delivery_Effort!BK52</f>
        <v>0.2</v>
      </c>
      <c r="I60" s="37">
        <f>Inputs_Delivery_Effort!BL52</f>
        <v>0.2</v>
      </c>
      <c r="J60" s="37">
        <f>Inputs_Delivery_Effort!BM52</f>
        <v>0.2</v>
      </c>
      <c r="K60" s="37">
        <f>Inputs_Delivery_Effort!BN52</f>
        <v>0.2</v>
      </c>
      <c r="L60" s="37">
        <f>Inputs_Delivery_Effort!BO52</f>
        <v>0.2</v>
      </c>
      <c r="M60" s="37">
        <f>Inputs_Delivery_Effort!BP52</f>
        <v>0.2</v>
      </c>
      <c r="N60" s="37">
        <f>Inputs_Delivery_Effort!BQ52</f>
        <v>0.2</v>
      </c>
      <c r="O60" s="37">
        <f>Inputs_Delivery_Effort!BR52</f>
        <v>0.2</v>
      </c>
      <c r="P60" s="263"/>
    </row>
    <row r="61" spans="1:16" x14ac:dyDescent="0.25">
      <c r="A61" s="263"/>
      <c r="B61" s="263"/>
      <c r="C61" s="263" t="s">
        <v>142</v>
      </c>
      <c r="D61" s="263" t="s">
        <v>30</v>
      </c>
      <c r="E61" s="263" t="s">
        <v>42</v>
      </c>
      <c r="F61" s="263"/>
      <c r="G61" s="675">
        <f t="shared" ref="G61:O61" si="13">(G56*IT_Consultant_Daily_Rate)*G60</f>
        <v>13884.750000000004</v>
      </c>
      <c r="H61" s="675">
        <f t="shared" si="13"/>
        <v>13884.750000000004</v>
      </c>
      <c r="I61" s="675">
        <f t="shared" si="13"/>
        <v>13884.750000000004</v>
      </c>
      <c r="J61" s="675">
        <f t="shared" si="13"/>
        <v>13884.750000000004</v>
      </c>
      <c r="K61" s="675">
        <f t="shared" si="13"/>
        <v>0</v>
      </c>
      <c r="L61" s="675">
        <f t="shared" si="13"/>
        <v>0</v>
      </c>
      <c r="M61" s="675">
        <f t="shared" si="13"/>
        <v>6942.3750000000018</v>
      </c>
      <c r="N61" s="675">
        <f t="shared" si="13"/>
        <v>0</v>
      </c>
      <c r="O61" s="675">
        <f t="shared" si="13"/>
        <v>6942.3750000000018</v>
      </c>
      <c r="P61" s="263"/>
    </row>
    <row r="62" spans="1:16" x14ac:dyDescent="0.25">
      <c r="A62" s="263"/>
      <c r="B62" s="263"/>
      <c r="C62" s="263"/>
      <c r="D62" s="263"/>
      <c r="E62" s="263"/>
      <c r="F62" s="263"/>
      <c r="G62" s="263"/>
      <c r="H62" s="263"/>
      <c r="I62" s="263"/>
      <c r="J62" s="263"/>
      <c r="K62" s="263"/>
      <c r="L62" s="263"/>
      <c r="M62" s="263"/>
      <c r="N62" s="263"/>
      <c r="O62" s="263"/>
      <c r="P62" s="263"/>
    </row>
    <row r="63" spans="1:16" x14ac:dyDescent="0.25">
      <c r="A63" s="117"/>
      <c r="B63" s="124"/>
      <c r="C63" s="125" t="s">
        <v>143</v>
      </c>
      <c r="D63" s="125"/>
      <c r="E63" s="125"/>
      <c r="F63" s="126"/>
      <c r="G63" s="126"/>
      <c r="H63" s="126"/>
      <c r="I63" s="126"/>
      <c r="J63" s="126"/>
      <c r="K63" s="126"/>
      <c r="L63" s="126"/>
      <c r="M63" s="126"/>
      <c r="N63" s="126"/>
      <c r="O63" s="126"/>
      <c r="P63" s="263"/>
    </row>
    <row r="64" spans="1:16" x14ac:dyDescent="0.25">
      <c r="A64" s="117"/>
      <c r="B64" s="124"/>
      <c r="C64" s="124"/>
      <c r="D64" s="124"/>
      <c r="E64" s="124"/>
      <c r="F64" s="128"/>
      <c r="G64" s="128"/>
      <c r="H64" s="128"/>
      <c r="I64" s="128"/>
      <c r="J64" s="128"/>
      <c r="K64" s="128"/>
      <c r="L64" s="128"/>
      <c r="M64" s="128"/>
      <c r="N64" s="128"/>
      <c r="O64" s="128"/>
      <c r="P64" s="263"/>
    </row>
    <row r="65" spans="1:16" x14ac:dyDescent="0.25">
      <c r="A65" s="263"/>
      <c r="B65" s="263"/>
      <c r="C65" s="263" t="s">
        <v>143</v>
      </c>
      <c r="D65" s="263" t="s">
        <v>61</v>
      </c>
      <c r="E65" s="263" t="s">
        <v>50</v>
      </c>
      <c r="F65" s="263" t="s">
        <v>152</v>
      </c>
      <c r="G65" s="673">
        <f>Inputs_Delivery_Effort!BJ53</f>
        <v>138.84750000000003</v>
      </c>
      <c r="H65" s="673">
        <f>Inputs_Delivery_Effort!BK53</f>
        <v>138.84750000000003</v>
      </c>
      <c r="I65" s="673">
        <f>Inputs_Delivery_Effort!BL53</f>
        <v>138.84750000000003</v>
      </c>
      <c r="J65" s="673">
        <f>Inputs_Delivery_Effort!BM53</f>
        <v>138.84750000000003</v>
      </c>
      <c r="K65" s="673">
        <f>Inputs_Delivery_Effort!BN53</f>
        <v>0</v>
      </c>
      <c r="L65" s="673">
        <f>Inputs_Delivery_Effort!BO53</f>
        <v>0</v>
      </c>
      <c r="M65" s="673">
        <f>Inputs_Delivery_Effort!BP53</f>
        <v>69.423750000000013</v>
      </c>
      <c r="N65" s="673">
        <f>Inputs_Delivery_Effort!BQ53</f>
        <v>0</v>
      </c>
      <c r="O65" s="673">
        <f>Inputs_Delivery_Effort!BR53</f>
        <v>69.423750000000013</v>
      </c>
      <c r="P65" s="263"/>
    </row>
    <row r="66" spans="1:16" x14ac:dyDescent="0.25">
      <c r="A66" s="263"/>
      <c r="B66" s="263"/>
      <c r="C66" s="263" t="s">
        <v>143</v>
      </c>
      <c r="D66" s="263" t="s">
        <v>30</v>
      </c>
      <c r="E66" s="263" t="s">
        <v>50</v>
      </c>
      <c r="F66" s="263" t="s">
        <v>119</v>
      </c>
      <c r="G66" s="677">
        <f>Inputs_Delivery_Effort!BJ54</f>
        <v>0</v>
      </c>
      <c r="H66" s="677">
        <f>Inputs_Delivery_Effort!BK54</f>
        <v>0</v>
      </c>
      <c r="I66" s="677">
        <f>Inputs_Delivery_Effort!BL54</f>
        <v>0</v>
      </c>
      <c r="J66" s="677">
        <f>Inputs_Delivery_Effort!BM54</f>
        <v>0</v>
      </c>
      <c r="K66" s="677">
        <f>Inputs_Delivery_Effort!BN54</f>
        <v>0</v>
      </c>
      <c r="L66" s="677">
        <f>Inputs_Delivery_Effort!BO54</f>
        <v>0</v>
      </c>
      <c r="M66" s="677">
        <f>Inputs_Delivery_Effort!BP54</f>
        <v>0</v>
      </c>
      <c r="N66" s="677">
        <f>Inputs_Delivery_Effort!BQ54</f>
        <v>0</v>
      </c>
      <c r="O66" s="677">
        <f>Inputs_Delivery_Effort!BR54</f>
        <v>0</v>
      </c>
      <c r="P66" s="263"/>
    </row>
    <row r="67" spans="1:16" x14ac:dyDescent="0.25">
      <c r="A67" s="263"/>
      <c r="B67" s="263"/>
      <c r="C67" s="263" t="s">
        <v>143</v>
      </c>
      <c r="D67" s="263" t="s">
        <v>30</v>
      </c>
      <c r="E67" s="263" t="s">
        <v>43</v>
      </c>
      <c r="F67" s="263"/>
      <c r="G67" s="675">
        <f t="shared" ref="G67:O67" si="14">(G65*IT_Consultant_Daily_Rate)+G66</f>
        <v>69423.750000000015</v>
      </c>
      <c r="H67" s="675">
        <f t="shared" si="14"/>
        <v>69423.750000000015</v>
      </c>
      <c r="I67" s="675">
        <f t="shared" si="14"/>
        <v>69423.750000000015</v>
      </c>
      <c r="J67" s="675">
        <f t="shared" si="14"/>
        <v>69423.750000000015</v>
      </c>
      <c r="K67" s="675">
        <f t="shared" si="14"/>
        <v>0</v>
      </c>
      <c r="L67" s="675">
        <f t="shared" si="14"/>
        <v>0</v>
      </c>
      <c r="M67" s="675">
        <f t="shared" si="14"/>
        <v>34711.875000000007</v>
      </c>
      <c r="N67" s="675">
        <f t="shared" si="14"/>
        <v>0</v>
      </c>
      <c r="O67" s="675">
        <f t="shared" si="14"/>
        <v>34711.875000000007</v>
      </c>
      <c r="P67" s="263"/>
    </row>
    <row r="68" spans="1:16" x14ac:dyDescent="0.25">
      <c r="A68" s="263"/>
      <c r="B68" s="263"/>
      <c r="C68" s="263"/>
      <c r="D68" s="263"/>
      <c r="E68" s="263"/>
      <c r="F68" s="263"/>
      <c r="G68" s="263"/>
      <c r="H68" s="263"/>
      <c r="I68" s="263"/>
      <c r="J68" s="263"/>
      <c r="K68" s="263"/>
      <c r="L68" s="263"/>
      <c r="M68" s="263"/>
      <c r="N68" s="263"/>
      <c r="O68" s="263"/>
      <c r="P68" s="263"/>
    </row>
    <row r="69" spans="1:16" x14ac:dyDescent="0.25">
      <c r="A69" s="263"/>
      <c r="B69" s="263"/>
      <c r="C69" s="263" t="s">
        <v>143</v>
      </c>
      <c r="D69" s="263" t="s">
        <v>49</v>
      </c>
      <c r="E69" s="263" t="s">
        <v>47</v>
      </c>
      <c r="F69" s="263" t="s">
        <v>120</v>
      </c>
      <c r="G69" s="37">
        <f>Inputs_Delivery_Effort!BJ55</f>
        <v>0.2</v>
      </c>
      <c r="H69" s="37">
        <f>Inputs_Delivery_Effort!BK55</f>
        <v>0.2</v>
      </c>
      <c r="I69" s="37">
        <f>Inputs_Delivery_Effort!BL55</f>
        <v>0.2</v>
      </c>
      <c r="J69" s="37">
        <f>Inputs_Delivery_Effort!BM55</f>
        <v>0.2</v>
      </c>
      <c r="K69" s="37">
        <f>Inputs_Delivery_Effort!BN55</f>
        <v>0.2</v>
      </c>
      <c r="L69" s="37">
        <f>Inputs_Delivery_Effort!BO55</f>
        <v>0.2</v>
      </c>
      <c r="M69" s="37">
        <f>Inputs_Delivery_Effort!BP55</f>
        <v>0.2</v>
      </c>
      <c r="N69" s="37">
        <f>Inputs_Delivery_Effort!BQ55</f>
        <v>0.2</v>
      </c>
      <c r="O69" s="37">
        <f>Inputs_Delivery_Effort!BR55</f>
        <v>0.2</v>
      </c>
      <c r="P69" s="263"/>
    </row>
    <row r="70" spans="1:16" x14ac:dyDescent="0.25">
      <c r="A70" s="263"/>
      <c r="B70" s="263"/>
      <c r="C70" s="263" t="s">
        <v>143</v>
      </c>
      <c r="D70" s="263" t="s">
        <v>30</v>
      </c>
      <c r="E70" s="263"/>
      <c r="F70" s="263"/>
      <c r="G70" s="675">
        <f t="shared" ref="G70:O70" si="15">(G65*IT_Consultant_Daily_Rate)*G69</f>
        <v>13884.750000000004</v>
      </c>
      <c r="H70" s="675">
        <f t="shared" si="15"/>
        <v>13884.750000000004</v>
      </c>
      <c r="I70" s="675">
        <f t="shared" si="15"/>
        <v>13884.750000000004</v>
      </c>
      <c r="J70" s="675">
        <f t="shared" si="15"/>
        <v>13884.750000000004</v>
      </c>
      <c r="K70" s="675">
        <f t="shared" si="15"/>
        <v>0</v>
      </c>
      <c r="L70" s="675">
        <f t="shared" si="15"/>
        <v>0</v>
      </c>
      <c r="M70" s="675">
        <f t="shared" si="15"/>
        <v>6942.3750000000018</v>
      </c>
      <c r="N70" s="675">
        <f t="shared" si="15"/>
        <v>0</v>
      </c>
      <c r="O70" s="675">
        <f t="shared" si="15"/>
        <v>6942.3750000000018</v>
      </c>
      <c r="P70" s="263"/>
    </row>
    <row r="71" spans="1:16" x14ac:dyDescent="0.25">
      <c r="A71" s="263"/>
      <c r="B71" s="263"/>
      <c r="C71" s="263"/>
      <c r="D71" s="263"/>
      <c r="E71" s="263"/>
      <c r="F71" s="263"/>
      <c r="G71" s="263"/>
      <c r="H71" s="263"/>
      <c r="I71" s="263"/>
      <c r="J71" s="263"/>
      <c r="K71" s="263"/>
      <c r="L71" s="263"/>
      <c r="M71" s="263"/>
      <c r="N71" s="263"/>
      <c r="O71" s="263"/>
      <c r="P71" s="263"/>
    </row>
    <row r="72" spans="1:16" x14ac:dyDescent="0.25">
      <c r="A72" s="117"/>
      <c r="B72" s="124"/>
      <c r="C72" s="125" t="s">
        <v>147</v>
      </c>
      <c r="D72" s="125"/>
      <c r="E72" s="125"/>
      <c r="F72" s="126"/>
      <c r="G72" s="126"/>
      <c r="H72" s="126"/>
      <c r="I72" s="126"/>
      <c r="J72" s="126"/>
      <c r="K72" s="126"/>
      <c r="L72" s="126"/>
      <c r="M72" s="126"/>
      <c r="N72" s="126"/>
      <c r="O72" s="126"/>
      <c r="P72" s="263"/>
    </row>
    <row r="73" spans="1:16" x14ac:dyDescent="0.25">
      <c r="A73" s="117"/>
      <c r="B73" s="124"/>
      <c r="C73" s="124"/>
      <c r="D73" s="124"/>
      <c r="E73" s="124"/>
      <c r="F73" s="128"/>
      <c r="G73" s="128"/>
      <c r="H73" s="128"/>
      <c r="I73" s="128"/>
      <c r="J73" s="128"/>
      <c r="K73" s="128"/>
      <c r="L73" s="128"/>
      <c r="M73" s="128"/>
      <c r="N73" s="128"/>
      <c r="O73" s="128"/>
      <c r="P73" s="263"/>
    </row>
    <row r="74" spans="1:16" x14ac:dyDescent="0.25">
      <c r="A74" s="263"/>
      <c r="B74" s="263"/>
      <c r="C74" s="263" t="s">
        <v>147</v>
      </c>
      <c r="D74" s="263" t="s">
        <v>61</v>
      </c>
      <c r="E74" s="263" t="s">
        <v>50</v>
      </c>
      <c r="F74" s="263" t="s">
        <v>152</v>
      </c>
      <c r="G74" s="673">
        <f>Inputs_Delivery_Effort!BJ56</f>
        <v>24.75</v>
      </c>
      <c r="H74" s="673">
        <f>Inputs_Delivery_Effort!BK56</f>
        <v>24.75</v>
      </c>
      <c r="I74" s="673">
        <f>Inputs_Delivery_Effort!BL56</f>
        <v>24.75</v>
      </c>
      <c r="J74" s="673">
        <f>Inputs_Delivery_Effort!BM56</f>
        <v>24.75</v>
      </c>
      <c r="K74" s="673">
        <f>Inputs_Delivery_Effort!BN56</f>
        <v>0</v>
      </c>
      <c r="L74" s="673">
        <f>Inputs_Delivery_Effort!BO56</f>
        <v>0</v>
      </c>
      <c r="M74" s="673">
        <f>Inputs_Delivery_Effort!BP56</f>
        <v>12.375</v>
      </c>
      <c r="N74" s="673">
        <f>Inputs_Delivery_Effort!BQ56</f>
        <v>0</v>
      </c>
      <c r="O74" s="673">
        <f>Inputs_Delivery_Effort!BR56</f>
        <v>12.375</v>
      </c>
      <c r="P74" s="263"/>
    </row>
    <row r="75" spans="1:16" x14ac:dyDescent="0.25">
      <c r="A75" s="263"/>
      <c r="B75" s="263"/>
      <c r="C75" s="263" t="s">
        <v>147</v>
      </c>
      <c r="D75" s="263" t="s">
        <v>30</v>
      </c>
      <c r="E75" s="263" t="s">
        <v>50</v>
      </c>
      <c r="F75" s="263" t="s">
        <v>119</v>
      </c>
      <c r="G75" s="677">
        <f>Inputs_Delivery_Effort!BJ57</f>
        <v>0</v>
      </c>
      <c r="H75" s="677">
        <f>Inputs_Delivery_Effort!BK57</f>
        <v>0</v>
      </c>
      <c r="I75" s="677">
        <f>Inputs_Delivery_Effort!BL57</f>
        <v>0</v>
      </c>
      <c r="J75" s="677">
        <f>Inputs_Delivery_Effort!BM57</f>
        <v>0</v>
      </c>
      <c r="K75" s="677">
        <f>Inputs_Delivery_Effort!BN57</f>
        <v>0</v>
      </c>
      <c r="L75" s="677">
        <f>Inputs_Delivery_Effort!BO57</f>
        <v>0</v>
      </c>
      <c r="M75" s="677">
        <f>Inputs_Delivery_Effort!BP57</f>
        <v>0</v>
      </c>
      <c r="N75" s="677">
        <f>Inputs_Delivery_Effort!BQ57</f>
        <v>0</v>
      </c>
      <c r="O75" s="677">
        <f>Inputs_Delivery_Effort!BR57</f>
        <v>0</v>
      </c>
      <c r="P75" s="263"/>
    </row>
    <row r="76" spans="1:16" x14ac:dyDescent="0.25">
      <c r="A76" s="263"/>
      <c r="B76" s="263"/>
      <c r="C76" s="263" t="s">
        <v>147</v>
      </c>
      <c r="D76" s="263" t="s">
        <v>30</v>
      </c>
      <c r="E76" s="263" t="s">
        <v>43</v>
      </c>
      <c r="F76" s="263"/>
      <c r="G76" s="675">
        <f t="shared" ref="G76:O76" si="16">(G74*IT_Consultant_Daily_Rate)+G75</f>
        <v>12375</v>
      </c>
      <c r="H76" s="675">
        <f t="shared" si="16"/>
        <v>12375</v>
      </c>
      <c r="I76" s="675">
        <f t="shared" si="16"/>
        <v>12375</v>
      </c>
      <c r="J76" s="675">
        <f t="shared" si="16"/>
        <v>12375</v>
      </c>
      <c r="K76" s="675">
        <f t="shared" si="16"/>
        <v>0</v>
      </c>
      <c r="L76" s="675">
        <f t="shared" si="16"/>
        <v>0</v>
      </c>
      <c r="M76" s="675">
        <f t="shared" si="16"/>
        <v>6187.5</v>
      </c>
      <c r="N76" s="675">
        <f t="shared" si="16"/>
        <v>0</v>
      </c>
      <c r="O76" s="675">
        <f t="shared" si="16"/>
        <v>6187.5</v>
      </c>
      <c r="P76" s="263"/>
    </row>
    <row r="77" spans="1:16" x14ac:dyDescent="0.25">
      <c r="A77" s="263"/>
      <c r="B77" s="263"/>
      <c r="C77" s="263"/>
      <c r="D77" s="263"/>
      <c r="E77" s="263"/>
      <c r="F77" s="263"/>
      <c r="G77" s="263"/>
      <c r="H77" s="263"/>
      <c r="I77" s="263"/>
      <c r="J77" s="263"/>
      <c r="K77" s="263"/>
      <c r="L77" s="263"/>
      <c r="M77" s="263"/>
      <c r="N77" s="263"/>
      <c r="O77" s="263"/>
      <c r="P77" s="263"/>
    </row>
    <row r="78" spans="1:16" s="131" customFormat="1" x14ac:dyDescent="0.25">
      <c r="A78" s="39"/>
      <c r="B78" s="39"/>
      <c r="C78" s="39" t="s">
        <v>147</v>
      </c>
      <c r="D78" s="39" t="s">
        <v>49</v>
      </c>
      <c r="E78" s="39" t="s">
        <v>47</v>
      </c>
      <c r="F78" s="39" t="s">
        <v>120</v>
      </c>
      <c r="G78" s="37">
        <f>Inputs_Delivery_Effort!BJ58</f>
        <v>0.2</v>
      </c>
      <c r="H78" s="37">
        <f>Inputs_Delivery_Effort!BK58</f>
        <v>0.2</v>
      </c>
      <c r="I78" s="37">
        <f>Inputs_Delivery_Effort!BL58</f>
        <v>0.2</v>
      </c>
      <c r="J78" s="37">
        <f>Inputs_Delivery_Effort!BM58</f>
        <v>0.2</v>
      </c>
      <c r="K78" s="37">
        <f>Inputs_Delivery_Effort!BN58</f>
        <v>0.2</v>
      </c>
      <c r="L78" s="37">
        <f>Inputs_Delivery_Effort!BO58</f>
        <v>0.2</v>
      </c>
      <c r="M78" s="37">
        <f>Inputs_Delivery_Effort!BP58</f>
        <v>0.2</v>
      </c>
      <c r="N78" s="37">
        <f>Inputs_Delivery_Effort!BQ58</f>
        <v>0.2</v>
      </c>
      <c r="O78" s="37">
        <f>Inputs_Delivery_Effort!BR58</f>
        <v>0.2</v>
      </c>
      <c r="P78" s="39"/>
    </row>
    <row r="79" spans="1:16" s="131" customFormat="1" x14ac:dyDescent="0.25">
      <c r="A79" s="39"/>
      <c r="B79" s="39"/>
      <c r="C79" s="39" t="s">
        <v>147</v>
      </c>
      <c r="D79" s="265" t="s">
        <v>30</v>
      </c>
      <c r="E79" s="265" t="s">
        <v>42</v>
      </c>
      <c r="F79" s="39"/>
      <c r="G79" s="675">
        <f t="shared" ref="G79:O79" si="17">(G74*IT_Consultant_Daily_Rate)*G78</f>
        <v>2475</v>
      </c>
      <c r="H79" s="675">
        <f t="shared" si="17"/>
        <v>2475</v>
      </c>
      <c r="I79" s="675">
        <f t="shared" si="17"/>
        <v>2475</v>
      </c>
      <c r="J79" s="675">
        <f t="shared" si="17"/>
        <v>2475</v>
      </c>
      <c r="K79" s="675">
        <f t="shared" si="17"/>
        <v>0</v>
      </c>
      <c r="L79" s="675">
        <f t="shared" si="17"/>
        <v>0</v>
      </c>
      <c r="M79" s="675">
        <f t="shared" si="17"/>
        <v>1237.5</v>
      </c>
      <c r="N79" s="675">
        <f t="shared" si="17"/>
        <v>0</v>
      </c>
      <c r="O79" s="675">
        <f t="shared" si="17"/>
        <v>1237.5</v>
      </c>
      <c r="P79" s="39"/>
    </row>
    <row r="80" spans="1:16" x14ac:dyDescent="0.25">
      <c r="A80" s="263"/>
      <c r="B80" s="263"/>
      <c r="C80" s="263"/>
      <c r="D80" s="263"/>
      <c r="E80" s="263"/>
      <c r="F80" s="263"/>
      <c r="G80" s="263"/>
      <c r="H80" s="263"/>
      <c r="I80" s="263"/>
      <c r="J80" s="263"/>
      <c r="K80" s="263"/>
      <c r="L80" s="263"/>
      <c r="M80" s="263"/>
      <c r="N80" s="263"/>
      <c r="O80" s="263"/>
      <c r="P80" s="263"/>
    </row>
    <row r="81" spans="1:16" x14ac:dyDescent="0.25">
      <c r="A81" s="117"/>
      <c r="B81" s="124"/>
      <c r="C81" s="125" t="s">
        <v>144</v>
      </c>
      <c r="D81" s="125"/>
      <c r="E81" s="125"/>
      <c r="F81" s="126"/>
      <c r="G81" s="126"/>
      <c r="H81" s="126"/>
      <c r="I81" s="126"/>
      <c r="J81" s="126"/>
      <c r="K81" s="126"/>
      <c r="L81" s="126"/>
      <c r="M81" s="126"/>
      <c r="N81" s="126"/>
      <c r="O81" s="126"/>
      <c r="P81" s="263"/>
    </row>
    <row r="82" spans="1:16" x14ac:dyDescent="0.25">
      <c r="A82" s="117"/>
      <c r="B82" s="124"/>
      <c r="C82" s="124"/>
      <c r="D82" s="124"/>
      <c r="E82" s="124"/>
      <c r="F82" s="128"/>
      <c r="G82" s="128"/>
      <c r="H82" s="128"/>
      <c r="I82" s="128"/>
      <c r="J82" s="128"/>
      <c r="K82" s="128"/>
      <c r="L82" s="128"/>
      <c r="M82" s="128"/>
      <c r="N82" s="128"/>
      <c r="O82" s="128"/>
      <c r="P82" s="263"/>
    </row>
    <row r="83" spans="1:16" x14ac:dyDescent="0.25">
      <c r="A83" s="263"/>
      <c r="B83" s="263"/>
      <c r="C83" s="263" t="s">
        <v>144</v>
      </c>
      <c r="D83" s="263" t="s">
        <v>61</v>
      </c>
      <c r="E83" s="263" t="s">
        <v>50</v>
      </c>
      <c r="F83" s="263" t="s">
        <v>152</v>
      </c>
      <c r="G83" s="673">
        <f>Inputs_Delivery_Effort!BJ59</f>
        <v>95.287500000000037</v>
      </c>
      <c r="H83" s="673">
        <f>Inputs_Delivery_Effort!BK59</f>
        <v>95.287500000000037</v>
      </c>
      <c r="I83" s="673">
        <f>Inputs_Delivery_Effort!BL59</f>
        <v>95.287500000000037</v>
      </c>
      <c r="J83" s="673">
        <f>Inputs_Delivery_Effort!BM59</f>
        <v>95.287500000000037</v>
      </c>
      <c r="K83" s="673">
        <f>Inputs_Delivery_Effort!BN59</f>
        <v>0</v>
      </c>
      <c r="L83" s="673">
        <f>Inputs_Delivery_Effort!BO59</f>
        <v>0</v>
      </c>
      <c r="M83" s="673">
        <f>Inputs_Delivery_Effort!BP59</f>
        <v>47.643750000000018</v>
      </c>
      <c r="N83" s="673">
        <f>Inputs_Delivery_Effort!BQ59</f>
        <v>0</v>
      </c>
      <c r="O83" s="673">
        <f>Inputs_Delivery_Effort!BR59</f>
        <v>47.643750000000018</v>
      </c>
      <c r="P83" s="263"/>
    </row>
    <row r="84" spans="1:16" x14ac:dyDescent="0.25">
      <c r="A84" s="263"/>
      <c r="B84" s="263"/>
      <c r="C84" s="263" t="s">
        <v>144</v>
      </c>
      <c r="D84" s="263" t="s">
        <v>30</v>
      </c>
      <c r="E84" s="263" t="s">
        <v>50</v>
      </c>
      <c r="F84" s="263" t="s">
        <v>119</v>
      </c>
      <c r="G84" s="677">
        <f>Inputs_Delivery_Effort!BJ60</f>
        <v>0</v>
      </c>
      <c r="H84" s="677">
        <f>Inputs_Delivery_Effort!BK60</f>
        <v>0</v>
      </c>
      <c r="I84" s="677">
        <f>Inputs_Delivery_Effort!BL60</f>
        <v>0</v>
      </c>
      <c r="J84" s="677">
        <f>Inputs_Delivery_Effort!BM60</f>
        <v>0</v>
      </c>
      <c r="K84" s="677">
        <f>Inputs_Delivery_Effort!BN60</f>
        <v>0</v>
      </c>
      <c r="L84" s="677">
        <f>Inputs_Delivery_Effort!BO60</f>
        <v>0</v>
      </c>
      <c r="M84" s="677">
        <f>Inputs_Delivery_Effort!BP60</f>
        <v>0</v>
      </c>
      <c r="N84" s="677">
        <f>Inputs_Delivery_Effort!BQ60</f>
        <v>0</v>
      </c>
      <c r="O84" s="677">
        <f>Inputs_Delivery_Effort!BR60</f>
        <v>0</v>
      </c>
      <c r="P84" s="263"/>
    </row>
    <row r="85" spans="1:16" x14ac:dyDescent="0.25">
      <c r="A85" s="263"/>
      <c r="B85" s="263"/>
      <c r="C85" s="263" t="s">
        <v>144</v>
      </c>
      <c r="D85" s="263" t="s">
        <v>30</v>
      </c>
      <c r="E85" s="263" t="s">
        <v>43</v>
      </c>
      <c r="F85" s="263"/>
      <c r="G85" s="675">
        <f t="shared" ref="G85:O85" si="18">(G83*IT_Consultant_Daily_Rate)+G84</f>
        <v>47643.750000000022</v>
      </c>
      <c r="H85" s="675">
        <f t="shared" si="18"/>
        <v>47643.750000000022</v>
      </c>
      <c r="I85" s="675">
        <f t="shared" si="18"/>
        <v>47643.750000000022</v>
      </c>
      <c r="J85" s="675">
        <f t="shared" si="18"/>
        <v>47643.750000000022</v>
      </c>
      <c r="K85" s="675">
        <f t="shared" si="18"/>
        <v>0</v>
      </c>
      <c r="L85" s="675">
        <f t="shared" si="18"/>
        <v>0</v>
      </c>
      <c r="M85" s="675">
        <f t="shared" si="18"/>
        <v>23821.875000000011</v>
      </c>
      <c r="N85" s="675">
        <f t="shared" si="18"/>
        <v>0</v>
      </c>
      <c r="O85" s="675">
        <f t="shared" si="18"/>
        <v>23821.875000000011</v>
      </c>
      <c r="P85" s="263"/>
    </row>
    <row r="86" spans="1:16" x14ac:dyDescent="0.25">
      <c r="A86" s="263"/>
      <c r="B86" s="263"/>
      <c r="C86" s="263"/>
      <c r="D86" s="263"/>
      <c r="E86" s="263"/>
      <c r="F86" s="263"/>
      <c r="G86" s="263"/>
      <c r="H86" s="263"/>
      <c r="I86" s="263"/>
      <c r="J86" s="263"/>
      <c r="K86" s="263"/>
      <c r="L86" s="263"/>
      <c r="M86" s="263"/>
      <c r="N86" s="263"/>
      <c r="O86" s="263"/>
      <c r="P86" s="263"/>
    </row>
    <row r="87" spans="1:16" x14ac:dyDescent="0.25">
      <c r="A87" s="263"/>
      <c r="B87" s="263"/>
      <c r="C87" s="263" t="s">
        <v>144</v>
      </c>
      <c r="D87" s="263" t="s">
        <v>49</v>
      </c>
      <c r="E87" s="263" t="s">
        <v>47</v>
      </c>
      <c r="F87" s="263" t="s">
        <v>120</v>
      </c>
      <c r="G87" s="37">
        <f>Inputs_Delivery_Effort!BJ61</f>
        <v>0.2</v>
      </c>
      <c r="H87" s="37">
        <f>Inputs_Delivery_Effort!BK61</f>
        <v>0.2</v>
      </c>
      <c r="I87" s="37">
        <f>Inputs_Delivery_Effort!BL61</f>
        <v>0.2</v>
      </c>
      <c r="J87" s="37">
        <f>Inputs_Delivery_Effort!BM61</f>
        <v>0.2</v>
      </c>
      <c r="K87" s="37">
        <f>Inputs_Delivery_Effort!BN61</f>
        <v>0.2</v>
      </c>
      <c r="L87" s="37">
        <f>Inputs_Delivery_Effort!BO61</f>
        <v>0.2</v>
      </c>
      <c r="M87" s="37">
        <f>Inputs_Delivery_Effort!BP61</f>
        <v>0.2</v>
      </c>
      <c r="N87" s="37">
        <f>Inputs_Delivery_Effort!BQ61</f>
        <v>0.2</v>
      </c>
      <c r="O87" s="37">
        <f>Inputs_Delivery_Effort!BR61</f>
        <v>0.2</v>
      </c>
      <c r="P87" s="263"/>
    </row>
    <row r="88" spans="1:16" x14ac:dyDescent="0.25">
      <c r="A88" s="263"/>
      <c r="B88" s="263"/>
      <c r="C88" s="263" t="s">
        <v>144</v>
      </c>
      <c r="D88" s="263" t="s">
        <v>30</v>
      </c>
      <c r="E88" s="263" t="s">
        <v>42</v>
      </c>
      <c r="F88" s="263"/>
      <c r="G88" s="675">
        <f t="shared" ref="G88:O88" si="19">(G83*IT_Consultant_Daily_Rate)*G87</f>
        <v>9528.7500000000055</v>
      </c>
      <c r="H88" s="675">
        <f t="shared" si="19"/>
        <v>9528.7500000000055</v>
      </c>
      <c r="I88" s="675">
        <f t="shared" si="19"/>
        <v>9528.7500000000055</v>
      </c>
      <c r="J88" s="675">
        <f t="shared" si="19"/>
        <v>9528.7500000000055</v>
      </c>
      <c r="K88" s="675">
        <f t="shared" si="19"/>
        <v>0</v>
      </c>
      <c r="L88" s="675">
        <f t="shared" si="19"/>
        <v>0</v>
      </c>
      <c r="M88" s="675">
        <f t="shared" si="19"/>
        <v>4764.3750000000027</v>
      </c>
      <c r="N88" s="675">
        <f t="shared" si="19"/>
        <v>0</v>
      </c>
      <c r="O88" s="675">
        <f t="shared" si="19"/>
        <v>4764.3750000000027</v>
      </c>
      <c r="P88" s="263"/>
    </row>
    <row r="89" spans="1:16" x14ac:dyDescent="0.25">
      <c r="A89" s="263"/>
      <c r="B89" s="263"/>
      <c r="C89" s="263"/>
      <c r="D89" s="263"/>
      <c r="E89" s="263"/>
      <c r="F89" s="263"/>
      <c r="G89" s="263"/>
      <c r="H89" s="263"/>
      <c r="I89" s="263"/>
      <c r="J89" s="263"/>
      <c r="K89" s="263"/>
      <c r="L89" s="263"/>
      <c r="M89" s="263"/>
      <c r="N89" s="263"/>
      <c r="O89" s="263"/>
      <c r="P89" s="263"/>
    </row>
    <row r="90" spans="1:16" x14ac:dyDescent="0.25">
      <c r="A90" s="117"/>
      <c r="B90" s="124"/>
      <c r="C90" s="125" t="s">
        <v>114</v>
      </c>
      <c r="D90" s="125"/>
      <c r="E90" s="125"/>
      <c r="F90" s="126"/>
      <c r="G90" s="126"/>
      <c r="H90" s="126"/>
      <c r="I90" s="126"/>
      <c r="J90" s="126"/>
      <c r="K90" s="126"/>
      <c r="L90" s="126"/>
      <c r="M90" s="126"/>
      <c r="N90" s="126"/>
      <c r="O90" s="126"/>
      <c r="P90" s="263"/>
    </row>
    <row r="91" spans="1:16" x14ac:dyDescent="0.25">
      <c r="A91" s="117"/>
      <c r="B91" s="124"/>
      <c r="C91" s="124"/>
      <c r="D91" s="124"/>
      <c r="E91" s="124"/>
      <c r="F91" s="128"/>
      <c r="G91" s="128"/>
      <c r="H91" s="128"/>
      <c r="I91" s="128"/>
      <c r="J91" s="128"/>
      <c r="K91" s="128"/>
      <c r="L91" s="128"/>
      <c r="M91" s="128"/>
      <c r="N91" s="128"/>
      <c r="O91" s="128"/>
      <c r="P91" s="263"/>
    </row>
    <row r="92" spans="1:16" x14ac:dyDescent="0.25">
      <c r="A92" s="263"/>
      <c r="B92" s="263"/>
      <c r="C92" s="263" t="s">
        <v>114</v>
      </c>
      <c r="D92" s="263" t="s">
        <v>61</v>
      </c>
      <c r="E92" s="263" t="s">
        <v>50</v>
      </c>
      <c r="F92" s="263" t="s">
        <v>152</v>
      </c>
      <c r="G92" s="673">
        <f>Inputs_Delivery_Effort!BJ62</f>
        <v>3.3000000000000003</v>
      </c>
      <c r="H92" s="673">
        <f>Inputs_Delivery_Effort!BK62</f>
        <v>3.3000000000000003</v>
      </c>
      <c r="I92" s="673">
        <f>Inputs_Delivery_Effort!BL62</f>
        <v>3.3000000000000003</v>
      </c>
      <c r="J92" s="673">
        <f>Inputs_Delivery_Effort!BM62</f>
        <v>3.3000000000000003</v>
      </c>
      <c r="K92" s="673">
        <f>Inputs_Delivery_Effort!BN62</f>
        <v>0</v>
      </c>
      <c r="L92" s="673">
        <f>Inputs_Delivery_Effort!BO62</f>
        <v>0</v>
      </c>
      <c r="M92" s="673">
        <f>Inputs_Delivery_Effort!BP62</f>
        <v>1.6500000000000001</v>
      </c>
      <c r="N92" s="673">
        <f>Inputs_Delivery_Effort!BQ62</f>
        <v>0</v>
      </c>
      <c r="O92" s="673">
        <f>Inputs_Delivery_Effort!BR62</f>
        <v>1.6500000000000001</v>
      </c>
      <c r="P92" s="263"/>
    </row>
    <row r="93" spans="1:16" x14ac:dyDescent="0.25">
      <c r="A93" s="263"/>
      <c r="B93" s="263"/>
      <c r="C93" s="263" t="s">
        <v>114</v>
      </c>
      <c r="D93" s="263" t="s">
        <v>30</v>
      </c>
      <c r="E93" s="263" t="s">
        <v>50</v>
      </c>
      <c r="F93" s="263" t="s">
        <v>119</v>
      </c>
      <c r="G93" s="677">
        <f>Inputs_Delivery_Effort!BJ63</f>
        <v>0</v>
      </c>
      <c r="H93" s="677">
        <f>Inputs_Delivery_Effort!BK63</f>
        <v>0</v>
      </c>
      <c r="I93" s="677">
        <f>Inputs_Delivery_Effort!BL63</f>
        <v>0</v>
      </c>
      <c r="J93" s="677">
        <f>Inputs_Delivery_Effort!BM63</f>
        <v>0</v>
      </c>
      <c r="K93" s="677">
        <f>Inputs_Delivery_Effort!BN63</f>
        <v>0</v>
      </c>
      <c r="L93" s="677">
        <f>Inputs_Delivery_Effort!BO63</f>
        <v>0</v>
      </c>
      <c r="M93" s="677">
        <f>Inputs_Delivery_Effort!BP63</f>
        <v>0</v>
      </c>
      <c r="N93" s="677">
        <f>Inputs_Delivery_Effort!BQ63</f>
        <v>0</v>
      </c>
      <c r="O93" s="677">
        <f>Inputs_Delivery_Effort!BR63</f>
        <v>0</v>
      </c>
      <c r="P93" s="263"/>
    </row>
    <row r="94" spans="1:16" x14ac:dyDescent="0.25">
      <c r="A94" s="263"/>
      <c r="B94" s="263"/>
      <c r="C94" s="263" t="s">
        <v>114</v>
      </c>
      <c r="D94" s="263" t="s">
        <v>30</v>
      </c>
      <c r="E94" s="263" t="s">
        <v>43</v>
      </c>
      <c r="F94" s="263"/>
      <c r="G94" s="675">
        <f t="shared" ref="G94:O94" si="20">(G92*IT_Consultant_Daily_Rate)+G93</f>
        <v>1650.0000000000002</v>
      </c>
      <c r="H94" s="675">
        <f t="shared" si="20"/>
        <v>1650.0000000000002</v>
      </c>
      <c r="I94" s="675">
        <f t="shared" si="20"/>
        <v>1650.0000000000002</v>
      </c>
      <c r="J94" s="675">
        <f t="shared" si="20"/>
        <v>1650.0000000000002</v>
      </c>
      <c r="K94" s="675">
        <f t="shared" si="20"/>
        <v>0</v>
      </c>
      <c r="L94" s="675">
        <f t="shared" si="20"/>
        <v>0</v>
      </c>
      <c r="M94" s="675">
        <f t="shared" si="20"/>
        <v>825.00000000000011</v>
      </c>
      <c r="N94" s="675">
        <f t="shared" si="20"/>
        <v>0</v>
      </c>
      <c r="O94" s="675">
        <f t="shared" si="20"/>
        <v>825.00000000000011</v>
      </c>
      <c r="P94" s="263"/>
    </row>
    <row r="95" spans="1:16" x14ac:dyDescent="0.25">
      <c r="A95" s="263"/>
      <c r="B95" s="263"/>
      <c r="C95" s="263"/>
      <c r="D95" s="263"/>
      <c r="E95" s="263"/>
      <c r="F95" s="263"/>
      <c r="G95" s="263"/>
      <c r="H95" s="263"/>
      <c r="I95" s="263"/>
      <c r="J95" s="263"/>
      <c r="K95" s="263"/>
      <c r="L95" s="263"/>
      <c r="M95" s="263"/>
      <c r="N95" s="263"/>
      <c r="O95" s="263"/>
      <c r="P95" s="263"/>
    </row>
    <row r="96" spans="1:16" x14ac:dyDescent="0.25">
      <c r="A96" s="263"/>
      <c r="B96" s="263"/>
      <c r="C96" s="263" t="s">
        <v>114</v>
      </c>
      <c r="D96" s="263" t="s">
        <v>49</v>
      </c>
      <c r="E96" s="263" t="s">
        <v>47</v>
      </c>
      <c r="F96" s="263" t="s">
        <v>120</v>
      </c>
      <c r="G96" s="37">
        <f>Inputs_Delivery_Effort!BJ64</f>
        <v>0.2</v>
      </c>
      <c r="H96" s="37">
        <f>Inputs_Delivery_Effort!BK64</f>
        <v>0.2</v>
      </c>
      <c r="I96" s="37">
        <f>Inputs_Delivery_Effort!BL64</f>
        <v>0.2</v>
      </c>
      <c r="J96" s="37">
        <f>Inputs_Delivery_Effort!BM64</f>
        <v>0.2</v>
      </c>
      <c r="K96" s="37">
        <f>Inputs_Delivery_Effort!BN64</f>
        <v>0.2</v>
      </c>
      <c r="L96" s="37">
        <f>Inputs_Delivery_Effort!BO64</f>
        <v>0.2</v>
      </c>
      <c r="M96" s="37">
        <f>Inputs_Delivery_Effort!BP64</f>
        <v>0.2</v>
      </c>
      <c r="N96" s="37">
        <f>Inputs_Delivery_Effort!BQ64</f>
        <v>0.2</v>
      </c>
      <c r="O96" s="37">
        <f>Inputs_Delivery_Effort!BR64</f>
        <v>0.2</v>
      </c>
      <c r="P96" s="263"/>
    </row>
    <row r="97" spans="1:16" x14ac:dyDescent="0.25">
      <c r="A97" s="263"/>
      <c r="B97" s="263"/>
      <c r="C97" s="263" t="s">
        <v>114</v>
      </c>
      <c r="D97" s="263" t="s">
        <v>30</v>
      </c>
      <c r="E97" s="263" t="s">
        <v>42</v>
      </c>
      <c r="F97" s="263"/>
      <c r="G97" s="675">
        <f t="shared" ref="G97:O97" si="21">(G92*IT_Consultant_Daily_Rate)*G96</f>
        <v>330.00000000000006</v>
      </c>
      <c r="H97" s="675">
        <f t="shared" si="21"/>
        <v>330.00000000000006</v>
      </c>
      <c r="I97" s="675">
        <f t="shared" si="21"/>
        <v>330.00000000000006</v>
      </c>
      <c r="J97" s="675">
        <f t="shared" si="21"/>
        <v>330.00000000000006</v>
      </c>
      <c r="K97" s="675">
        <f t="shared" si="21"/>
        <v>0</v>
      </c>
      <c r="L97" s="675">
        <f t="shared" si="21"/>
        <v>0</v>
      </c>
      <c r="M97" s="675">
        <f t="shared" si="21"/>
        <v>165.00000000000003</v>
      </c>
      <c r="N97" s="675">
        <f t="shared" si="21"/>
        <v>0</v>
      </c>
      <c r="O97" s="675">
        <f t="shared" si="21"/>
        <v>165.00000000000003</v>
      </c>
      <c r="P97" s="263"/>
    </row>
    <row r="98" spans="1:16" x14ac:dyDescent="0.25">
      <c r="A98" s="263"/>
      <c r="B98" s="263"/>
      <c r="C98" s="263"/>
      <c r="D98" s="263"/>
      <c r="E98" s="263"/>
      <c r="F98" s="263"/>
      <c r="G98" s="263"/>
      <c r="H98" s="263"/>
      <c r="I98" s="263"/>
      <c r="J98" s="263"/>
      <c r="K98" s="263"/>
      <c r="L98" s="263"/>
      <c r="M98" s="263"/>
      <c r="N98" s="263"/>
      <c r="O98" s="263"/>
      <c r="P98" s="263"/>
    </row>
    <row r="99" spans="1:16" x14ac:dyDescent="0.25">
      <c r="A99" s="117"/>
      <c r="B99" s="124"/>
      <c r="C99" s="125" t="s">
        <v>112</v>
      </c>
      <c r="D99" s="125"/>
      <c r="E99" s="125"/>
      <c r="F99" s="126"/>
      <c r="G99" s="126"/>
      <c r="H99" s="126"/>
      <c r="I99" s="126"/>
      <c r="J99" s="126"/>
      <c r="K99" s="126"/>
      <c r="L99" s="126"/>
      <c r="M99" s="126"/>
      <c r="N99" s="126"/>
      <c r="O99" s="126"/>
      <c r="P99" s="263"/>
    </row>
    <row r="100" spans="1:16" x14ac:dyDescent="0.25">
      <c r="A100" s="117"/>
      <c r="B100" s="124"/>
      <c r="C100" s="124"/>
      <c r="D100" s="124"/>
      <c r="E100" s="124"/>
      <c r="F100" s="128"/>
      <c r="G100" s="128"/>
      <c r="H100" s="128"/>
      <c r="I100" s="128"/>
      <c r="J100" s="128"/>
      <c r="K100" s="128"/>
      <c r="L100" s="128"/>
      <c r="M100" s="128"/>
      <c r="N100" s="128"/>
      <c r="O100" s="128"/>
      <c r="P100" s="263"/>
    </row>
    <row r="101" spans="1:16" x14ac:dyDescent="0.25">
      <c r="A101" s="263"/>
      <c r="B101" s="263"/>
      <c r="C101" s="263" t="s">
        <v>112</v>
      </c>
      <c r="D101" s="263" t="s">
        <v>61</v>
      </c>
      <c r="E101" s="263" t="s">
        <v>50</v>
      </c>
      <c r="F101" s="263" t="s">
        <v>152</v>
      </c>
      <c r="G101" s="673">
        <f>Inputs_Delivery_Effort!BJ65</f>
        <v>17.160000000000004</v>
      </c>
      <c r="H101" s="673">
        <f>Inputs_Delivery_Effort!BK65</f>
        <v>17.160000000000004</v>
      </c>
      <c r="I101" s="673">
        <f>Inputs_Delivery_Effort!BL65</f>
        <v>17.160000000000004</v>
      </c>
      <c r="J101" s="673">
        <f>Inputs_Delivery_Effort!BM65</f>
        <v>17.160000000000004</v>
      </c>
      <c r="K101" s="673">
        <f>Inputs_Delivery_Effort!BN65</f>
        <v>0</v>
      </c>
      <c r="L101" s="673">
        <f>Inputs_Delivery_Effort!BO65</f>
        <v>0</v>
      </c>
      <c r="M101" s="673">
        <f>Inputs_Delivery_Effort!BP65</f>
        <v>8.5800000000000018</v>
      </c>
      <c r="N101" s="673">
        <f>Inputs_Delivery_Effort!BQ65</f>
        <v>0</v>
      </c>
      <c r="O101" s="673">
        <f>Inputs_Delivery_Effort!BR65</f>
        <v>8.5800000000000018</v>
      </c>
      <c r="P101" s="263"/>
    </row>
    <row r="102" spans="1:16" x14ac:dyDescent="0.25">
      <c r="A102" s="263"/>
      <c r="B102" s="263"/>
      <c r="C102" s="263" t="s">
        <v>112</v>
      </c>
      <c r="D102" s="263" t="s">
        <v>30</v>
      </c>
      <c r="E102" s="263" t="s">
        <v>50</v>
      </c>
      <c r="F102" s="263" t="s">
        <v>119</v>
      </c>
      <c r="G102" s="677">
        <f>Inputs_Delivery_Effort!BJ66</f>
        <v>0</v>
      </c>
      <c r="H102" s="677">
        <f>Inputs_Delivery_Effort!BK66</f>
        <v>0</v>
      </c>
      <c r="I102" s="677">
        <f>Inputs_Delivery_Effort!BL66</f>
        <v>0</v>
      </c>
      <c r="J102" s="677">
        <f>Inputs_Delivery_Effort!BM66</f>
        <v>0</v>
      </c>
      <c r="K102" s="677">
        <f>Inputs_Delivery_Effort!BN66</f>
        <v>0</v>
      </c>
      <c r="L102" s="677">
        <f>Inputs_Delivery_Effort!BO66</f>
        <v>0</v>
      </c>
      <c r="M102" s="677">
        <f>Inputs_Delivery_Effort!BP66</f>
        <v>0</v>
      </c>
      <c r="N102" s="677">
        <f>Inputs_Delivery_Effort!BQ66</f>
        <v>0</v>
      </c>
      <c r="O102" s="677">
        <f>Inputs_Delivery_Effort!BR66</f>
        <v>0</v>
      </c>
      <c r="P102" s="263"/>
    </row>
    <row r="103" spans="1:16" x14ac:dyDescent="0.25">
      <c r="A103" s="263"/>
      <c r="B103" s="263"/>
      <c r="C103" s="263" t="s">
        <v>112</v>
      </c>
      <c r="D103" s="263" t="s">
        <v>30</v>
      </c>
      <c r="E103" s="263" t="s">
        <v>43</v>
      </c>
      <c r="F103" s="263"/>
      <c r="G103" s="675">
        <f t="shared" ref="G103:O103" si="22">(G101*IT_Consultant_Daily_Rate)+G102</f>
        <v>8580.0000000000018</v>
      </c>
      <c r="H103" s="675">
        <f t="shared" si="22"/>
        <v>8580.0000000000018</v>
      </c>
      <c r="I103" s="675">
        <f t="shared" si="22"/>
        <v>8580.0000000000018</v>
      </c>
      <c r="J103" s="675">
        <f t="shared" si="22"/>
        <v>8580.0000000000018</v>
      </c>
      <c r="K103" s="675">
        <f t="shared" si="22"/>
        <v>0</v>
      </c>
      <c r="L103" s="675">
        <f t="shared" si="22"/>
        <v>0</v>
      </c>
      <c r="M103" s="675">
        <f t="shared" si="22"/>
        <v>4290.0000000000009</v>
      </c>
      <c r="N103" s="675">
        <f t="shared" si="22"/>
        <v>0</v>
      </c>
      <c r="O103" s="675">
        <f t="shared" si="22"/>
        <v>4290.0000000000009</v>
      </c>
      <c r="P103" s="263"/>
    </row>
    <row r="104" spans="1:16" x14ac:dyDescent="0.25">
      <c r="A104" s="263"/>
      <c r="B104" s="263"/>
      <c r="C104" s="263"/>
      <c r="D104" s="263"/>
      <c r="E104" s="263"/>
      <c r="F104" s="263"/>
      <c r="G104" s="263"/>
      <c r="H104" s="263"/>
      <c r="I104" s="263"/>
      <c r="J104" s="263"/>
      <c r="K104" s="263"/>
      <c r="L104" s="263"/>
      <c r="M104" s="263"/>
      <c r="N104" s="263"/>
      <c r="O104" s="263"/>
      <c r="P104" s="263"/>
    </row>
    <row r="105" spans="1:16" x14ac:dyDescent="0.25">
      <c r="A105" s="263"/>
      <c r="B105" s="263"/>
      <c r="C105" s="263" t="s">
        <v>112</v>
      </c>
      <c r="D105" s="263" t="s">
        <v>49</v>
      </c>
      <c r="E105" s="263" t="s">
        <v>47</v>
      </c>
      <c r="F105" s="263" t="s">
        <v>120</v>
      </c>
      <c r="G105" s="37">
        <f>Inputs_Delivery_Effort!BJ67</f>
        <v>0.2</v>
      </c>
      <c r="H105" s="37">
        <f>Inputs_Delivery_Effort!BK67</f>
        <v>0.2</v>
      </c>
      <c r="I105" s="37">
        <f>Inputs_Delivery_Effort!BL67</f>
        <v>0.2</v>
      </c>
      <c r="J105" s="37">
        <f>Inputs_Delivery_Effort!BM67</f>
        <v>0.2</v>
      </c>
      <c r="K105" s="37">
        <f>Inputs_Delivery_Effort!BN67</f>
        <v>0.2</v>
      </c>
      <c r="L105" s="37">
        <f>Inputs_Delivery_Effort!BO67</f>
        <v>0.2</v>
      </c>
      <c r="M105" s="37">
        <f>Inputs_Delivery_Effort!BP67</f>
        <v>0.2</v>
      </c>
      <c r="N105" s="37">
        <f>Inputs_Delivery_Effort!BQ67</f>
        <v>0.2</v>
      </c>
      <c r="O105" s="37">
        <f>Inputs_Delivery_Effort!BR67</f>
        <v>0.2</v>
      </c>
      <c r="P105" s="263"/>
    </row>
    <row r="106" spans="1:16" x14ac:dyDescent="0.25">
      <c r="A106" s="263"/>
      <c r="B106" s="263"/>
      <c r="C106" s="263" t="s">
        <v>112</v>
      </c>
      <c r="D106" s="263" t="s">
        <v>30</v>
      </c>
      <c r="E106" s="263" t="s">
        <v>42</v>
      </c>
      <c r="F106" s="263"/>
      <c r="G106" s="675">
        <f t="shared" ref="G106:O106" si="23">(G101*IT_Consultant_Daily_Rate)*G105</f>
        <v>1716.0000000000005</v>
      </c>
      <c r="H106" s="675">
        <f t="shared" si="23"/>
        <v>1716.0000000000005</v>
      </c>
      <c r="I106" s="675">
        <f t="shared" si="23"/>
        <v>1716.0000000000005</v>
      </c>
      <c r="J106" s="675">
        <f t="shared" si="23"/>
        <v>1716.0000000000005</v>
      </c>
      <c r="K106" s="675">
        <f t="shared" si="23"/>
        <v>0</v>
      </c>
      <c r="L106" s="675">
        <f t="shared" si="23"/>
        <v>0</v>
      </c>
      <c r="M106" s="675">
        <f t="shared" si="23"/>
        <v>858.00000000000023</v>
      </c>
      <c r="N106" s="675">
        <f t="shared" si="23"/>
        <v>0</v>
      </c>
      <c r="O106" s="675">
        <f t="shared" si="23"/>
        <v>858.00000000000023</v>
      </c>
      <c r="P106" s="263"/>
    </row>
    <row r="107" spans="1:16" x14ac:dyDescent="0.25">
      <c r="A107" s="263"/>
      <c r="B107" s="263"/>
      <c r="C107" s="263"/>
      <c r="D107" s="263"/>
      <c r="E107" s="263"/>
      <c r="F107" s="263"/>
      <c r="G107" s="263"/>
      <c r="H107" s="263"/>
      <c r="I107" s="263"/>
      <c r="J107" s="263"/>
      <c r="K107" s="263"/>
      <c r="L107" s="263"/>
      <c r="M107" s="263"/>
      <c r="N107" s="263"/>
      <c r="O107" s="263"/>
      <c r="P107" s="263"/>
    </row>
    <row r="108" spans="1:16" x14ac:dyDescent="0.25">
      <c r="A108" s="117"/>
      <c r="B108" s="124"/>
      <c r="C108" s="125" t="s">
        <v>148</v>
      </c>
      <c r="D108" s="125"/>
      <c r="E108" s="125"/>
      <c r="F108" s="126"/>
      <c r="G108" s="126"/>
      <c r="H108" s="126"/>
      <c r="I108" s="126"/>
      <c r="J108" s="126"/>
      <c r="K108" s="126"/>
      <c r="L108" s="126"/>
      <c r="M108" s="126"/>
      <c r="N108" s="126"/>
      <c r="O108" s="126"/>
      <c r="P108" s="263"/>
    </row>
    <row r="109" spans="1:16" x14ac:dyDescent="0.25">
      <c r="A109" s="117"/>
      <c r="B109" s="124"/>
      <c r="C109" s="124"/>
      <c r="D109" s="124"/>
      <c r="E109" s="124"/>
      <c r="F109" s="128"/>
      <c r="G109" s="128"/>
      <c r="H109" s="128"/>
      <c r="I109" s="128"/>
      <c r="J109" s="128"/>
      <c r="K109" s="128"/>
      <c r="L109" s="128"/>
      <c r="M109" s="128"/>
      <c r="N109" s="128"/>
      <c r="O109" s="128"/>
      <c r="P109" s="263"/>
    </row>
    <row r="110" spans="1:16" x14ac:dyDescent="0.25">
      <c r="A110" s="263"/>
      <c r="B110" s="263"/>
      <c r="C110" s="263" t="s">
        <v>148</v>
      </c>
      <c r="D110" s="263" t="s">
        <v>61</v>
      </c>
      <c r="E110" s="263" t="s">
        <v>50</v>
      </c>
      <c r="F110" s="263" t="s">
        <v>151</v>
      </c>
      <c r="G110" s="673">
        <f>Inputs_Delivery_Effort!BJ68</f>
        <v>33</v>
      </c>
      <c r="H110" s="673">
        <f>Inputs_Delivery_Effort!BK68</f>
        <v>33</v>
      </c>
      <c r="I110" s="673">
        <f>Inputs_Delivery_Effort!BL68</f>
        <v>33</v>
      </c>
      <c r="J110" s="673">
        <f>Inputs_Delivery_Effort!BM68</f>
        <v>33</v>
      </c>
      <c r="K110" s="673">
        <f>Inputs_Delivery_Effort!BN68</f>
        <v>0</v>
      </c>
      <c r="L110" s="673">
        <f>Inputs_Delivery_Effort!BO68</f>
        <v>0</v>
      </c>
      <c r="M110" s="673">
        <f>Inputs_Delivery_Effort!BP68</f>
        <v>16.5</v>
      </c>
      <c r="N110" s="673">
        <f>Inputs_Delivery_Effort!BQ68</f>
        <v>0</v>
      </c>
      <c r="O110" s="673">
        <f>Inputs_Delivery_Effort!BR68</f>
        <v>16.5</v>
      </c>
      <c r="P110" s="263"/>
    </row>
    <row r="111" spans="1:16" x14ac:dyDescent="0.25">
      <c r="A111" s="263"/>
      <c r="B111" s="263"/>
      <c r="C111" s="263" t="s">
        <v>148</v>
      </c>
      <c r="D111" s="263" t="s">
        <v>30</v>
      </c>
      <c r="E111" s="263" t="s">
        <v>50</v>
      </c>
      <c r="F111" s="263" t="s">
        <v>119</v>
      </c>
      <c r="G111" s="677">
        <f>Inputs_Delivery_Effort!BJ69</f>
        <v>0</v>
      </c>
      <c r="H111" s="677">
        <f>Inputs_Delivery_Effort!BK69</f>
        <v>0</v>
      </c>
      <c r="I111" s="677">
        <f>Inputs_Delivery_Effort!BL69</f>
        <v>0</v>
      </c>
      <c r="J111" s="677">
        <f>Inputs_Delivery_Effort!BM69</f>
        <v>0</v>
      </c>
      <c r="K111" s="677">
        <f>Inputs_Delivery_Effort!BN69</f>
        <v>0</v>
      </c>
      <c r="L111" s="677">
        <f>Inputs_Delivery_Effort!BO69</f>
        <v>0</v>
      </c>
      <c r="M111" s="677">
        <f>Inputs_Delivery_Effort!BP69</f>
        <v>0</v>
      </c>
      <c r="N111" s="677">
        <f>Inputs_Delivery_Effort!BQ69</f>
        <v>0</v>
      </c>
      <c r="O111" s="677">
        <f>Inputs_Delivery_Effort!BR69</f>
        <v>0</v>
      </c>
      <c r="P111" s="263"/>
    </row>
    <row r="112" spans="1:16" x14ac:dyDescent="0.25">
      <c r="A112" s="263"/>
      <c r="B112" s="263"/>
      <c r="C112" s="263" t="s">
        <v>148</v>
      </c>
      <c r="D112" s="263" t="s">
        <v>30</v>
      </c>
      <c r="E112" s="263" t="s">
        <v>43</v>
      </c>
      <c r="F112" s="263"/>
      <c r="G112" s="675">
        <f t="shared" ref="G112:O112" si="24">(G110*IT_Consultant_Daily_Rate)+G111</f>
        <v>16500</v>
      </c>
      <c r="H112" s="675">
        <f t="shared" si="24"/>
        <v>16500</v>
      </c>
      <c r="I112" s="675">
        <f t="shared" si="24"/>
        <v>16500</v>
      </c>
      <c r="J112" s="675">
        <f t="shared" si="24"/>
        <v>16500</v>
      </c>
      <c r="K112" s="675">
        <f t="shared" si="24"/>
        <v>0</v>
      </c>
      <c r="L112" s="675">
        <f t="shared" si="24"/>
        <v>0</v>
      </c>
      <c r="M112" s="675">
        <f t="shared" si="24"/>
        <v>8250</v>
      </c>
      <c r="N112" s="675">
        <f t="shared" si="24"/>
        <v>0</v>
      </c>
      <c r="O112" s="675">
        <f t="shared" si="24"/>
        <v>8250</v>
      </c>
      <c r="P112" s="263"/>
    </row>
    <row r="113" spans="1:16" x14ac:dyDescent="0.25">
      <c r="A113" s="263"/>
      <c r="B113" s="263"/>
      <c r="C113" s="263"/>
      <c r="D113" s="263"/>
      <c r="E113" s="263"/>
      <c r="F113" s="263"/>
      <c r="G113" s="263"/>
      <c r="H113" s="263"/>
      <c r="I113" s="263"/>
      <c r="J113" s="263"/>
      <c r="K113" s="263"/>
      <c r="L113" s="263"/>
      <c r="M113" s="263"/>
      <c r="N113" s="263"/>
      <c r="O113" s="263"/>
      <c r="P113" s="263"/>
    </row>
    <row r="114" spans="1:16" x14ac:dyDescent="0.25">
      <c r="A114" s="263"/>
      <c r="B114" s="263"/>
      <c r="C114" s="263" t="s">
        <v>148</v>
      </c>
      <c r="D114" s="263" t="s">
        <v>49</v>
      </c>
      <c r="E114" s="263" t="s">
        <v>47</v>
      </c>
      <c r="F114" s="263" t="s">
        <v>120</v>
      </c>
      <c r="G114" s="37">
        <f>Inputs_Delivery_Effort!BJ70</f>
        <v>0.2</v>
      </c>
      <c r="H114" s="37">
        <f>Inputs_Delivery_Effort!BK70</f>
        <v>0.2</v>
      </c>
      <c r="I114" s="37">
        <f>Inputs_Delivery_Effort!BL70</f>
        <v>0.2</v>
      </c>
      <c r="J114" s="37">
        <f>Inputs_Delivery_Effort!BM70</f>
        <v>0.2</v>
      </c>
      <c r="K114" s="37">
        <f>Inputs_Delivery_Effort!BN70</f>
        <v>0.2</v>
      </c>
      <c r="L114" s="37">
        <f>Inputs_Delivery_Effort!BO70</f>
        <v>0.2</v>
      </c>
      <c r="M114" s="37">
        <f>Inputs_Delivery_Effort!BP70</f>
        <v>0.2</v>
      </c>
      <c r="N114" s="37">
        <f>Inputs_Delivery_Effort!BQ70</f>
        <v>0.2</v>
      </c>
      <c r="O114" s="37">
        <f>Inputs_Delivery_Effort!BR70</f>
        <v>0.2</v>
      </c>
      <c r="P114" s="263"/>
    </row>
    <row r="115" spans="1:16" x14ac:dyDescent="0.25">
      <c r="A115" s="263"/>
      <c r="B115" s="263"/>
      <c r="C115" s="263" t="s">
        <v>148</v>
      </c>
      <c r="D115" s="263" t="s">
        <v>30</v>
      </c>
      <c r="E115" s="263" t="s">
        <v>42</v>
      </c>
      <c r="F115" s="263"/>
      <c r="G115" s="675">
        <f t="shared" ref="G115:O115" si="25">(G110*IT_Consultant_Daily_Rate)*G114</f>
        <v>3300</v>
      </c>
      <c r="H115" s="675">
        <f t="shared" si="25"/>
        <v>3300</v>
      </c>
      <c r="I115" s="675">
        <f t="shared" si="25"/>
        <v>3300</v>
      </c>
      <c r="J115" s="675">
        <f t="shared" si="25"/>
        <v>3300</v>
      </c>
      <c r="K115" s="675">
        <f t="shared" si="25"/>
        <v>0</v>
      </c>
      <c r="L115" s="675">
        <f t="shared" si="25"/>
        <v>0</v>
      </c>
      <c r="M115" s="675">
        <f t="shared" si="25"/>
        <v>1650</v>
      </c>
      <c r="N115" s="675">
        <f t="shared" si="25"/>
        <v>0</v>
      </c>
      <c r="O115" s="675">
        <f t="shared" si="25"/>
        <v>1650</v>
      </c>
      <c r="P115" s="263"/>
    </row>
    <row r="116" spans="1:16" x14ac:dyDescent="0.25">
      <c r="A116" s="263"/>
      <c r="B116" s="263"/>
      <c r="C116" s="263"/>
      <c r="D116" s="263"/>
      <c r="E116" s="263"/>
      <c r="F116" s="263"/>
      <c r="G116" s="263"/>
      <c r="H116" s="263"/>
      <c r="I116" s="263"/>
      <c r="J116" s="263"/>
      <c r="K116" s="263"/>
      <c r="L116" s="263"/>
      <c r="M116" s="263"/>
      <c r="N116" s="263"/>
      <c r="O116" s="263"/>
      <c r="P116" s="263"/>
    </row>
    <row r="117" spans="1:16" x14ac:dyDescent="0.25">
      <c r="A117" s="117"/>
      <c r="B117" s="124"/>
      <c r="C117" s="125" t="s">
        <v>157</v>
      </c>
      <c r="D117" s="125"/>
      <c r="E117" s="125"/>
      <c r="F117" s="126"/>
      <c r="G117" s="126"/>
      <c r="H117" s="126"/>
      <c r="I117" s="126"/>
      <c r="J117" s="126"/>
      <c r="K117" s="126"/>
      <c r="L117" s="126"/>
      <c r="M117" s="126"/>
      <c r="N117" s="126"/>
      <c r="O117" s="126"/>
      <c r="P117" s="263"/>
    </row>
    <row r="118" spans="1:16" x14ac:dyDescent="0.25">
      <c r="A118" s="117"/>
      <c r="B118" s="124"/>
      <c r="C118" s="124"/>
      <c r="D118" s="124"/>
      <c r="E118" s="124"/>
      <c r="F118" s="128"/>
      <c r="G118" s="128"/>
      <c r="H118" s="128"/>
      <c r="I118" s="128"/>
      <c r="J118" s="128"/>
      <c r="K118" s="128"/>
      <c r="L118" s="128"/>
      <c r="M118" s="128"/>
      <c r="N118" s="128"/>
      <c r="O118" s="128"/>
      <c r="P118" s="263"/>
    </row>
    <row r="119" spans="1:16" x14ac:dyDescent="0.25">
      <c r="A119" s="263"/>
      <c r="B119" s="263"/>
      <c r="C119" s="263" t="s">
        <v>157</v>
      </c>
      <c r="D119" s="263" t="s">
        <v>61</v>
      </c>
      <c r="E119" s="263" t="s">
        <v>50</v>
      </c>
      <c r="F119" s="263" t="s">
        <v>152</v>
      </c>
      <c r="G119" s="673">
        <f>Inputs_Delivery_Effort!BJ71</f>
        <v>95.287500000000037</v>
      </c>
      <c r="H119" s="673">
        <f>Inputs_Delivery_Effort!BK71</f>
        <v>95.287500000000037</v>
      </c>
      <c r="I119" s="673">
        <f>Inputs_Delivery_Effort!BL71</f>
        <v>95.287500000000037</v>
      </c>
      <c r="J119" s="673">
        <f>Inputs_Delivery_Effort!BM71</f>
        <v>95.287500000000037</v>
      </c>
      <c r="K119" s="673">
        <f>Inputs_Delivery_Effort!BN71</f>
        <v>0</v>
      </c>
      <c r="L119" s="673">
        <f>Inputs_Delivery_Effort!BO71</f>
        <v>0</v>
      </c>
      <c r="M119" s="673">
        <f>Inputs_Delivery_Effort!BP71</f>
        <v>47.643750000000018</v>
      </c>
      <c r="N119" s="673">
        <f>Inputs_Delivery_Effort!BQ71</f>
        <v>0</v>
      </c>
      <c r="O119" s="673">
        <f>Inputs_Delivery_Effort!BR71</f>
        <v>47.643750000000018</v>
      </c>
      <c r="P119" s="263"/>
    </row>
    <row r="120" spans="1:16" x14ac:dyDescent="0.25">
      <c r="A120" s="263"/>
      <c r="B120" s="263"/>
      <c r="C120" s="263" t="s">
        <v>157</v>
      </c>
      <c r="D120" s="263" t="s">
        <v>30</v>
      </c>
      <c r="E120" s="263" t="s">
        <v>50</v>
      </c>
      <c r="F120" s="263" t="s">
        <v>119</v>
      </c>
      <c r="G120" s="677">
        <f>Inputs_Delivery_Effort!BJ72</f>
        <v>39999.999999999993</v>
      </c>
      <c r="H120" s="677">
        <f>Inputs_Delivery_Effort!BK72</f>
        <v>39999.999999999993</v>
      </c>
      <c r="I120" s="677">
        <f>Inputs_Delivery_Effort!BL72</f>
        <v>39999.999999999993</v>
      </c>
      <c r="J120" s="677">
        <f>Inputs_Delivery_Effort!BM72</f>
        <v>39999.999999999993</v>
      </c>
      <c r="K120" s="677">
        <f>Inputs_Delivery_Effort!BN72</f>
        <v>0</v>
      </c>
      <c r="L120" s="677">
        <f>Inputs_Delivery_Effort!BO72</f>
        <v>0</v>
      </c>
      <c r="M120" s="677">
        <f>Inputs_Delivery_Effort!BP72</f>
        <v>19999.999999999996</v>
      </c>
      <c r="N120" s="677">
        <f>Inputs_Delivery_Effort!BQ72</f>
        <v>0</v>
      </c>
      <c r="O120" s="677">
        <f>Inputs_Delivery_Effort!BR72</f>
        <v>19999.999999999996</v>
      </c>
      <c r="P120" s="263"/>
    </row>
    <row r="121" spans="1:16" x14ac:dyDescent="0.25">
      <c r="A121" s="263"/>
      <c r="B121" s="263"/>
      <c r="C121" s="263" t="s">
        <v>157</v>
      </c>
      <c r="D121" s="263" t="s">
        <v>30</v>
      </c>
      <c r="E121" s="263" t="s">
        <v>43</v>
      </c>
      <c r="F121" s="263"/>
      <c r="G121" s="675">
        <f t="shared" ref="G121:O121" si="26">(G119*IT_Consultant_Daily_Rate)+G120</f>
        <v>87643.750000000015</v>
      </c>
      <c r="H121" s="675">
        <f t="shared" si="26"/>
        <v>87643.750000000015</v>
      </c>
      <c r="I121" s="675">
        <f t="shared" si="26"/>
        <v>87643.750000000015</v>
      </c>
      <c r="J121" s="675">
        <f t="shared" si="26"/>
        <v>87643.750000000015</v>
      </c>
      <c r="K121" s="675">
        <f t="shared" si="26"/>
        <v>0</v>
      </c>
      <c r="L121" s="675">
        <f t="shared" si="26"/>
        <v>0</v>
      </c>
      <c r="M121" s="675">
        <f t="shared" si="26"/>
        <v>43821.875000000007</v>
      </c>
      <c r="N121" s="675">
        <f t="shared" si="26"/>
        <v>0</v>
      </c>
      <c r="O121" s="675">
        <f t="shared" si="26"/>
        <v>43821.875000000007</v>
      </c>
      <c r="P121" s="263"/>
    </row>
    <row r="122" spans="1:16" x14ac:dyDescent="0.25">
      <c r="A122" s="263"/>
      <c r="B122" s="263"/>
      <c r="C122" s="263"/>
      <c r="D122" s="263"/>
      <c r="E122" s="263"/>
      <c r="F122" s="263"/>
      <c r="G122" s="263"/>
      <c r="H122" s="263"/>
      <c r="I122" s="263"/>
      <c r="J122" s="263"/>
      <c r="K122" s="263"/>
      <c r="L122" s="263"/>
      <c r="M122" s="263"/>
      <c r="N122" s="263"/>
      <c r="O122" s="263"/>
      <c r="P122" s="263"/>
    </row>
    <row r="123" spans="1:16" x14ac:dyDescent="0.25">
      <c r="A123" s="263"/>
      <c r="B123" s="263"/>
      <c r="C123" s="263" t="s">
        <v>157</v>
      </c>
      <c r="D123" s="263" t="s">
        <v>49</v>
      </c>
      <c r="E123" s="263" t="s">
        <v>47</v>
      </c>
      <c r="F123" s="263" t="s">
        <v>120</v>
      </c>
      <c r="G123" s="37">
        <f>Inputs_Delivery_Effort!BJ73</f>
        <v>0.2</v>
      </c>
      <c r="H123" s="37">
        <f>Inputs_Delivery_Effort!BK73</f>
        <v>0.2</v>
      </c>
      <c r="I123" s="37">
        <f>Inputs_Delivery_Effort!BL73</f>
        <v>0.2</v>
      </c>
      <c r="J123" s="37">
        <f>Inputs_Delivery_Effort!BM73</f>
        <v>0.2</v>
      </c>
      <c r="K123" s="37">
        <f>Inputs_Delivery_Effort!BN73</f>
        <v>0.2</v>
      </c>
      <c r="L123" s="37">
        <f>Inputs_Delivery_Effort!BO73</f>
        <v>0.2</v>
      </c>
      <c r="M123" s="37">
        <f>Inputs_Delivery_Effort!BP73</f>
        <v>0.2</v>
      </c>
      <c r="N123" s="37">
        <f>Inputs_Delivery_Effort!BQ73</f>
        <v>0.2</v>
      </c>
      <c r="O123" s="37">
        <f>Inputs_Delivery_Effort!BR73</f>
        <v>0.2</v>
      </c>
      <c r="P123" s="263"/>
    </row>
    <row r="124" spans="1:16" x14ac:dyDescent="0.25">
      <c r="A124" s="263"/>
      <c r="B124" s="263"/>
      <c r="C124" s="263" t="s">
        <v>157</v>
      </c>
      <c r="D124" s="263" t="s">
        <v>30</v>
      </c>
      <c r="E124" s="263" t="s">
        <v>42</v>
      </c>
      <c r="F124" s="263"/>
      <c r="G124" s="675">
        <f t="shared" ref="G124:O124" si="27">(G119*IT_Consultant_Daily_Rate)*G123</f>
        <v>9528.7500000000055</v>
      </c>
      <c r="H124" s="675">
        <f t="shared" si="27"/>
        <v>9528.7500000000055</v>
      </c>
      <c r="I124" s="675">
        <f t="shared" si="27"/>
        <v>9528.7500000000055</v>
      </c>
      <c r="J124" s="675">
        <f t="shared" si="27"/>
        <v>9528.7500000000055</v>
      </c>
      <c r="K124" s="675">
        <f t="shared" si="27"/>
        <v>0</v>
      </c>
      <c r="L124" s="675">
        <f t="shared" si="27"/>
        <v>0</v>
      </c>
      <c r="M124" s="675">
        <f t="shared" si="27"/>
        <v>4764.3750000000027</v>
      </c>
      <c r="N124" s="675">
        <f t="shared" si="27"/>
        <v>0</v>
      </c>
      <c r="O124" s="675">
        <f t="shared" si="27"/>
        <v>4764.3750000000027</v>
      </c>
      <c r="P124" s="263"/>
    </row>
    <row r="125" spans="1:16" x14ac:dyDescent="0.25">
      <c r="A125" s="263"/>
      <c r="B125" s="263"/>
      <c r="C125" s="263"/>
      <c r="D125" s="263"/>
      <c r="E125" s="263"/>
      <c r="F125" s="263"/>
      <c r="G125" s="263"/>
      <c r="H125" s="263"/>
      <c r="I125" s="263"/>
      <c r="J125" s="263"/>
      <c r="K125" s="263"/>
      <c r="L125" s="263"/>
      <c r="M125" s="263"/>
      <c r="N125" s="263"/>
      <c r="O125" s="263"/>
      <c r="P125" s="263"/>
    </row>
    <row r="126" spans="1:16" x14ac:dyDescent="0.25">
      <c r="A126" s="263"/>
      <c r="B126" s="263"/>
      <c r="C126" s="263"/>
      <c r="D126" s="263"/>
      <c r="E126" s="263"/>
      <c r="F126" s="263"/>
      <c r="G126" s="263"/>
      <c r="H126" s="263"/>
      <c r="I126" s="263"/>
      <c r="J126" s="263"/>
      <c r="K126" s="263"/>
      <c r="L126" s="263"/>
      <c r="M126" s="263"/>
      <c r="N126" s="263"/>
      <c r="O126" s="263"/>
      <c r="P126" s="263"/>
    </row>
  </sheetData>
  <mergeCells count="1">
    <mergeCell ref="G4:J4"/>
  </mergeCells>
  <pageMargins left="0.7" right="0.7" top="0.75" bottom="0.75" header="0.3" footer="0.3"/>
  <pageSetup paperSize="0" orientation="portrait" horizontalDpi="0" verticalDpi="0" copie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
  <sheetViews>
    <sheetView topLeftCell="A1048576" workbookViewId="0">
      <selection activeCell="R56" sqref="R56"/>
    </sheetView>
  </sheetViews>
  <sheetFormatPr defaultRowHeight="15" customHeight="1" zeroHeight="1" x14ac:dyDescent="0.25"/>
  <sheetData>
    <row r="1" hidden="1"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6"/>
  <sheetViews>
    <sheetView showGridLines="0" zoomScale="80" zoomScaleNormal="80" workbookViewId="0"/>
  </sheetViews>
  <sheetFormatPr defaultRowHeight="12.75" x14ac:dyDescent="0.2"/>
  <cols>
    <col min="1" max="1" width="9.140625" style="18"/>
    <col min="2" max="2" width="10.5703125" style="18" bestFit="1" customWidth="1"/>
    <col min="3" max="3" width="25.140625" style="18" customWidth="1"/>
    <col min="4" max="4" width="9.140625" style="18"/>
    <col min="5" max="5" width="12.28515625" style="18" bestFit="1" customWidth="1"/>
    <col min="6" max="6" width="53.5703125" style="18" customWidth="1"/>
    <col min="7" max="16384" width="9.140625" style="18"/>
  </cols>
  <sheetData>
    <row r="1" spans="1:15" x14ac:dyDescent="0.2">
      <c r="A1" s="117"/>
      <c r="B1" s="117"/>
      <c r="C1" s="44"/>
      <c r="D1" s="44"/>
      <c r="E1" s="44"/>
      <c r="F1" s="118"/>
      <c r="G1" s="263"/>
      <c r="H1" s="263"/>
      <c r="I1" s="263"/>
      <c r="J1" s="263"/>
      <c r="K1" s="263"/>
      <c r="L1" s="263"/>
      <c r="M1" s="263"/>
      <c r="N1" s="263"/>
      <c r="O1" s="263"/>
    </row>
    <row r="2" spans="1:15" x14ac:dyDescent="0.2">
      <c r="A2" s="117"/>
      <c r="B2" s="117" t="s">
        <v>0</v>
      </c>
      <c r="C2" s="790" t="str">
        <f ca="1">MID(CELL("filename",A1),FIND("]",CELL("filename",A1))+1,256)</f>
        <v>General_Solutions</v>
      </c>
      <c r="D2" s="790"/>
      <c r="E2" s="44"/>
      <c r="F2" s="118"/>
      <c r="G2" s="263"/>
      <c r="H2" s="263"/>
      <c r="I2" s="263"/>
      <c r="J2" s="263"/>
      <c r="K2" s="263"/>
      <c r="L2" s="263"/>
      <c r="M2" s="263"/>
      <c r="N2" s="263"/>
      <c r="O2" s="263"/>
    </row>
    <row r="3" spans="1:15" x14ac:dyDescent="0.2">
      <c r="A3" s="117"/>
      <c r="B3" s="117" t="s">
        <v>1</v>
      </c>
      <c r="C3" s="118" t="s">
        <v>488</v>
      </c>
      <c r="D3" s="44"/>
      <c r="E3" s="44"/>
      <c r="F3" s="118"/>
      <c r="G3" s="263"/>
      <c r="H3" s="263"/>
      <c r="I3" s="263"/>
      <c r="J3" s="263"/>
      <c r="K3" s="263"/>
      <c r="L3" s="263"/>
      <c r="M3" s="263"/>
      <c r="N3" s="263"/>
      <c r="O3" s="263"/>
    </row>
    <row r="4" spans="1:15" x14ac:dyDescent="0.2">
      <c r="A4" s="117"/>
      <c r="B4" s="117"/>
      <c r="C4" s="44"/>
      <c r="D4" s="44"/>
      <c r="E4" s="44"/>
      <c r="F4" s="118"/>
      <c r="G4" s="710" t="s">
        <v>83</v>
      </c>
      <c r="H4" s="710"/>
      <c r="I4" s="710"/>
      <c r="J4" s="710"/>
      <c r="K4" s="263"/>
      <c r="L4" s="263"/>
      <c r="M4" s="263"/>
      <c r="N4" s="263"/>
      <c r="O4" s="264"/>
    </row>
    <row r="5" spans="1:15" x14ac:dyDescent="0.2">
      <c r="A5" s="120"/>
      <c r="B5" s="120" t="s">
        <v>27</v>
      </c>
      <c r="C5" s="121" t="s">
        <v>28</v>
      </c>
      <c r="D5" s="121" t="s">
        <v>29</v>
      </c>
      <c r="E5" s="121" t="s">
        <v>130</v>
      </c>
      <c r="F5" s="122" t="s">
        <v>173</v>
      </c>
      <c r="G5" s="19" t="s">
        <v>59</v>
      </c>
      <c r="H5" s="19" t="s">
        <v>62</v>
      </c>
      <c r="I5" s="19" t="s">
        <v>56</v>
      </c>
      <c r="J5" s="19" t="s">
        <v>72</v>
      </c>
      <c r="K5" s="19" t="s">
        <v>46</v>
      </c>
      <c r="L5" s="19" t="s">
        <v>79</v>
      </c>
      <c r="M5" s="19" t="s">
        <v>82</v>
      </c>
      <c r="N5" s="19" t="s">
        <v>81</v>
      </c>
      <c r="O5" s="19" t="s">
        <v>90</v>
      </c>
    </row>
    <row r="6" spans="1:15" x14ac:dyDescent="0.2">
      <c r="A6" s="263"/>
      <c r="B6" s="263"/>
      <c r="C6" s="263"/>
      <c r="D6" s="263"/>
      <c r="E6" s="263"/>
      <c r="F6" s="263"/>
      <c r="G6" s="263"/>
      <c r="H6" s="263"/>
      <c r="I6" s="263"/>
      <c r="J6" s="263"/>
      <c r="K6" s="263"/>
      <c r="L6" s="263"/>
      <c r="M6" s="263"/>
      <c r="N6" s="263"/>
      <c r="O6" s="263"/>
    </row>
    <row r="7" spans="1:15" x14ac:dyDescent="0.2">
      <c r="A7" s="263"/>
      <c r="B7" s="123" t="s">
        <v>353</v>
      </c>
      <c r="C7" s="263"/>
      <c r="D7" s="263"/>
      <c r="E7" s="263"/>
      <c r="F7" s="263"/>
      <c r="G7" s="263"/>
      <c r="H7" s="263"/>
      <c r="I7" s="263"/>
      <c r="J7" s="263"/>
      <c r="K7" s="263"/>
      <c r="L7" s="263"/>
      <c r="M7" s="263"/>
      <c r="N7" s="263"/>
      <c r="O7" s="263"/>
    </row>
    <row r="8" spans="1:15" x14ac:dyDescent="0.2">
      <c r="A8" s="263"/>
      <c r="B8" s="263"/>
      <c r="C8" s="263"/>
      <c r="D8" s="263"/>
      <c r="E8" s="263"/>
      <c r="F8" s="263"/>
      <c r="G8" s="263"/>
      <c r="H8" s="263"/>
      <c r="I8" s="263"/>
      <c r="J8" s="263"/>
      <c r="K8" s="263"/>
      <c r="L8" s="263"/>
      <c r="M8" s="263"/>
      <c r="N8" s="263"/>
      <c r="O8" s="263"/>
    </row>
    <row r="9" spans="1:15" x14ac:dyDescent="0.2">
      <c r="A9" s="263"/>
      <c r="B9" s="263"/>
      <c r="C9" s="155" t="s">
        <v>262</v>
      </c>
      <c r="D9" s="153"/>
      <c r="E9" s="153"/>
      <c r="F9" s="154"/>
      <c r="G9" s="154"/>
      <c r="H9" s="154"/>
      <c r="I9" s="154"/>
      <c r="J9" s="154"/>
      <c r="K9" s="154"/>
      <c r="L9" s="154"/>
      <c r="M9" s="154"/>
      <c r="N9" s="154"/>
      <c r="O9" s="154"/>
    </row>
    <row r="10" spans="1:15" x14ac:dyDescent="0.2">
      <c r="A10" s="263"/>
      <c r="B10" s="263"/>
      <c r="C10" s="124"/>
      <c r="D10" s="124"/>
      <c r="E10" s="124"/>
      <c r="F10" s="128"/>
      <c r="G10" s="128"/>
      <c r="H10" s="128"/>
      <c r="I10" s="128"/>
      <c r="J10" s="128"/>
      <c r="K10" s="128"/>
      <c r="L10" s="128"/>
      <c r="M10" s="128"/>
      <c r="N10" s="128"/>
      <c r="O10" s="128"/>
    </row>
    <row r="11" spans="1:15" x14ac:dyDescent="0.2">
      <c r="A11" s="263"/>
      <c r="B11" s="263"/>
      <c r="C11" s="263"/>
      <c r="D11" s="263" t="s">
        <v>51</v>
      </c>
      <c r="E11" s="263" t="s">
        <v>50</v>
      </c>
      <c r="F11" s="263" t="s">
        <v>117</v>
      </c>
      <c r="G11" s="673">
        <f>SUM(Inputs_Delivery_Effort!S84,Inputs_Delivery_Effort!S88)</f>
        <v>0</v>
      </c>
      <c r="H11" s="673">
        <f>SUM(Inputs_Delivery_Effort!T84,Inputs_Delivery_Effort!T88)</f>
        <v>0</v>
      </c>
      <c r="I11" s="673">
        <f>SUM(Inputs_Delivery_Effort!U84,Inputs_Delivery_Effort!U88)</f>
        <v>0</v>
      </c>
      <c r="J11" s="673">
        <f>SUM(Inputs_Delivery_Effort!V84,Inputs_Delivery_Effort!V88)</f>
        <v>0</v>
      </c>
      <c r="K11" s="673">
        <f>SUM(Inputs_Delivery_Effort!W84,Inputs_Delivery_Effort!W88)</f>
        <v>0</v>
      </c>
      <c r="L11" s="673">
        <f>SUM(Inputs_Delivery_Effort!X84,Inputs_Delivery_Effort!X88)</f>
        <v>0</v>
      </c>
      <c r="M11" s="673">
        <f>SUM(Inputs_Delivery_Effort!Y84,Inputs_Delivery_Effort!Y88)</f>
        <v>0</v>
      </c>
      <c r="N11" s="673">
        <f>SUM(Inputs_Delivery_Effort!Z84,Inputs_Delivery_Effort!Z88)</f>
        <v>0</v>
      </c>
      <c r="O11" s="673">
        <f>SUM(Inputs_Delivery_Effort!AA84,Inputs_Delivery_Effort!AA88)</f>
        <v>0</v>
      </c>
    </row>
    <row r="12" spans="1:15" x14ac:dyDescent="0.2">
      <c r="A12" s="263"/>
      <c r="B12" s="263"/>
      <c r="C12" s="263"/>
      <c r="D12" s="263" t="s">
        <v>48</v>
      </c>
      <c r="E12" s="263" t="s">
        <v>50</v>
      </c>
      <c r="F12" s="263" t="s">
        <v>263</v>
      </c>
      <c r="G12" s="671">
        <f>Inputs_CPs!$F$9</f>
        <v>0</v>
      </c>
      <c r="H12" s="671">
        <f>Inputs_CPs!$G$9</f>
        <v>0</v>
      </c>
      <c r="I12" s="671">
        <f>Inputs_CPs!$H$9</f>
        <v>0</v>
      </c>
      <c r="J12" s="671">
        <f>Inputs_CPs!$I$9</f>
        <v>0</v>
      </c>
      <c r="K12" s="671">
        <f>Inputs_CPs!$N$9</f>
        <v>0</v>
      </c>
      <c r="L12" s="671">
        <f>Inputs_CPs!$O$9</f>
        <v>0</v>
      </c>
      <c r="M12" s="671">
        <f>Inputs_CPs!$K$9</f>
        <v>100</v>
      </c>
      <c r="N12" s="671">
        <f>Inputs_CPs!$L$9</f>
        <v>5</v>
      </c>
      <c r="O12" s="671">
        <f>Inputs_CPs!$M$9</f>
        <v>0</v>
      </c>
    </row>
    <row r="13" spans="1:15" x14ac:dyDescent="0.2">
      <c r="A13" s="263"/>
      <c r="B13" s="263"/>
      <c r="C13" s="263"/>
      <c r="D13" s="44" t="s">
        <v>51</v>
      </c>
      <c r="E13" s="44" t="s">
        <v>50</v>
      </c>
      <c r="F13" s="118" t="s">
        <v>214</v>
      </c>
      <c r="G13" s="673">
        <f>Inputs_Delivery_Effort!S90</f>
        <v>26.400000000000002</v>
      </c>
      <c r="H13" s="673">
        <f>Inputs_Delivery_Effort!T90</f>
        <v>26.400000000000002</v>
      </c>
      <c r="I13" s="673">
        <f>Inputs_Delivery_Effort!U90</f>
        <v>26.400000000000002</v>
      </c>
      <c r="J13" s="673">
        <f>Inputs_Delivery_Effort!V90</f>
        <v>26.400000000000002</v>
      </c>
      <c r="K13" s="673">
        <f>Inputs_Delivery_Effort!W90</f>
        <v>0</v>
      </c>
      <c r="L13" s="673">
        <f>Inputs_Delivery_Effort!X90</f>
        <v>0</v>
      </c>
      <c r="M13" s="673">
        <f>Inputs_Delivery_Effort!Y90</f>
        <v>13.200000000000001</v>
      </c>
      <c r="N13" s="673">
        <f>Inputs_Delivery_Effort!Z90</f>
        <v>0</v>
      </c>
      <c r="O13" s="673">
        <f>Inputs_Delivery_Effort!AA90</f>
        <v>13.200000000000001</v>
      </c>
    </row>
    <row r="14" spans="1:15" x14ac:dyDescent="0.2">
      <c r="A14" s="263"/>
      <c r="B14" s="263"/>
      <c r="C14" s="263"/>
      <c r="D14" s="263" t="s">
        <v>30</v>
      </c>
      <c r="E14" s="263" t="s">
        <v>50</v>
      </c>
      <c r="F14" s="118" t="s">
        <v>70</v>
      </c>
      <c r="G14" s="112">
        <f>Inputs_CPs!F$11</f>
        <v>142.97777777777776</v>
      </c>
      <c r="H14" s="112">
        <f>Inputs_CPs!G$11</f>
        <v>142.97777777777776</v>
      </c>
      <c r="I14" s="112">
        <f>Inputs_CPs!H$11</f>
        <v>142.97777777777776</v>
      </c>
      <c r="J14" s="112">
        <f>Inputs_CPs!I$11</f>
        <v>142.97777777777776</v>
      </c>
      <c r="K14" s="112">
        <f>Inputs_CPs!N$11</f>
        <v>142.97777777777776</v>
      </c>
      <c r="L14" s="112">
        <f>Inputs_CPs!O$11</f>
        <v>142.97777777777776</v>
      </c>
      <c r="M14" s="112">
        <f>Inputs_CPs!K$11</f>
        <v>142.97777777777776</v>
      </c>
      <c r="N14" s="112">
        <f>Inputs_CPs!L$11</f>
        <v>142.97777777777776</v>
      </c>
      <c r="O14" s="112">
        <f>Inputs_CPs!M$11</f>
        <v>142.97777777777776</v>
      </c>
    </row>
    <row r="15" spans="1:15" x14ac:dyDescent="0.2">
      <c r="A15" s="263"/>
      <c r="B15" s="263"/>
      <c r="C15" s="263"/>
      <c r="D15" s="263" t="s">
        <v>30</v>
      </c>
      <c r="E15" s="263" t="s">
        <v>43</v>
      </c>
      <c r="F15" s="263"/>
      <c r="G15" s="675">
        <f t="shared" ref="G15:O15" si="0">(G11*G14*G12)+(G13*IT_Consultant_Daily_Rate)</f>
        <v>13200.000000000002</v>
      </c>
      <c r="H15" s="675">
        <f t="shared" si="0"/>
        <v>13200.000000000002</v>
      </c>
      <c r="I15" s="675">
        <f t="shared" si="0"/>
        <v>13200.000000000002</v>
      </c>
      <c r="J15" s="675">
        <f t="shared" si="0"/>
        <v>13200.000000000002</v>
      </c>
      <c r="K15" s="675">
        <f t="shared" si="0"/>
        <v>0</v>
      </c>
      <c r="L15" s="675">
        <f t="shared" si="0"/>
        <v>0</v>
      </c>
      <c r="M15" s="675">
        <f t="shared" si="0"/>
        <v>6600.0000000000009</v>
      </c>
      <c r="N15" s="675">
        <f t="shared" si="0"/>
        <v>0</v>
      </c>
      <c r="O15" s="675">
        <f t="shared" si="0"/>
        <v>6600.0000000000009</v>
      </c>
    </row>
    <row r="16" spans="1:15" x14ac:dyDescent="0.2">
      <c r="A16" s="263"/>
      <c r="B16" s="263"/>
      <c r="C16" s="263"/>
      <c r="D16" s="263"/>
      <c r="E16" s="263"/>
      <c r="F16" s="263"/>
      <c r="G16" s="263"/>
      <c r="H16" s="263"/>
      <c r="I16" s="263"/>
      <c r="J16" s="263"/>
      <c r="K16" s="263"/>
      <c r="L16" s="263"/>
      <c r="M16" s="263"/>
      <c r="N16" s="263"/>
      <c r="O16" s="263"/>
    </row>
    <row r="17" spans="1:16" x14ac:dyDescent="0.2">
      <c r="A17" s="263"/>
      <c r="B17" s="263"/>
      <c r="C17" s="263"/>
      <c r="D17" s="44" t="s">
        <v>49</v>
      </c>
      <c r="E17" s="44" t="s">
        <v>47</v>
      </c>
      <c r="F17" s="118" t="s">
        <v>118</v>
      </c>
      <c r="G17" s="32">
        <f>Inputs_CPs!$F$13</f>
        <v>0.2</v>
      </c>
      <c r="H17" s="32">
        <f>Inputs_CPs!$G$13</f>
        <v>0.2</v>
      </c>
      <c r="I17" s="32">
        <f>Inputs_CPs!$H$13</f>
        <v>0.2</v>
      </c>
      <c r="J17" s="32">
        <f>Inputs_CPs!$I$13</f>
        <v>0.2</v>
      </c>
      <c r="K17" s="32">
        <f>Inputs_CPs!$N$13</f>
        <v>0.2</v>
      </c>
      <c r="L17" s="32">
        <f>Inputs_CPs!$O$13</f>
        <v>0.2</v>
      </c>
      <c r="M17" s="32">
        <f>Inputs_CPs!$K$13</f>
        <v>0.2</v>
      </c>
      <c r="N17" s="32">
        <f>Inputs_CPs!$L$13</f>
        <v>0.2</v>
      </c>
      <c r="O17" s="32">
        <f>Inputs_CPs!$M$13</f>
        <v>0.2</v>
      </c>
    </row>
    <row r="18" spans="1:16" x14ac:dyDescent="0.2">
      <c r="A18" s="263"/>
      <c r="B18" s="263"/>
      <c r="C18" s="263"/>
      <c r="D18" s="44" t="s">
        <v>30</v>
      </c>
      <c r="E18" s="44" t="s">
        <v>42</v>
      </c>
      <c r="F18" s="118"/>
      <c r="G18" s="675">
        <f t="shared" ref="G18:O18" si="1">G15*G17/(1+CAPEX_Factor)</f>
        <v>2640.0000000000005</v>
      </c>
      <c r="H18" s="675">
        <f t="shared" si="1"/>
        <v>2640.0000000000005</v>
      </c>
      <c r="I18" s="675">
        <f t="shared" si="1"/>
        <v>2640.0000000000005</v>
      </c>
      <c r="J18" s="675">
        <f t="shared" si="1"/>
        <v>2640.0000000000005</v>
      </c>
      <c r="K18" s="675">
        <f t="shared" si="1"/>
        <v>0</v>
      </c>
      <c r="L18" s="675">
        <f t="shared" si="1"/>
        <v>0</v>
      </c>
      <c r="M18" s="675">
        <f t="shared" si="1"/>
        <v>1320.0000000000002</v>
      </c>
      <c r="N18" s="675">
        <f t="shared" si="1"/>
        <v>0</v>
      </c>
      <c r="O18" s="675">
        <f t="shared" si="1"/>
        <v>1320.0000000000002</v>
      </c>
    </row>
    <row r="19" spans="1:16" x14ac:dyDescent="0.2">
      <c r="A19" s="263"/>
      <c r="B19" s="263"/>
      <c r="C19" s="263"/>
      <c r="D19" s="263"/>
      <c r="E19" s="263"/>
      <c r="F19" s="263"/>
      <c r="G19" s="263"/>
      <c r="H19" s="263"/>
      <c r="I19" s="263"/>
      <c r="J19" s="263"/>
      <c r="K19" s="263"/>
      <c r="L19" s="263"/>
      <c r="M19" s="263"/>
      <c r="N19" s="263"/>
      <c r="O19" s="263"/>
    </row>
    <row r="20" spans="1:16" x14ac:dyDescent="0.2">
      <c r="A20" s="263"/>
      <c r="B20" s="263"/>
      <c r="C20" s="263"/>
      <c r="D20" s="44"/>
      <c r="E20" s="44"/>
      <c r="F20" s="118"/>
      <c r="G20" s="43"/>
      <c r="H20" s="43"/>
      <c r="I20" s="43"/>
      <c r="J20" s="43"/>
      <c r="K20" s="43"/>
      <c r="L20" s="43"/>
      <c r="M20" s="43"/>
      <c r="N20" s="43"/>
      <c r="O20" s="43"/>
      <c r="P20" s="21"/>
    </row>
    <row r="21" spans="1:16" x14ac:dyDescent="0.2">
      <c r="A21" s="263"/>
      <c r="B21" s="22" t="s">
        <v>352</v>
      </c>
      <c r="C21" s="263"/>
      <c r="D21" s="263"/>
      <c r="E21" s="263"/>
      <c r="F21" s="263"/>
      <c r="G21" s="263"/>
      <c r="H21" s="263"/>
      <c r="I21" s="263"/>
      <c r="J21" s="263"/>
      <c r="K21" s="263"/>
      <c r="L21" s="263"/>
      <c r="M21" s="263"/>
      <c r="N21" s="263"/>
      <c r="O21" s="263"/>
    </row>
    <row r="22" spans="1:16" x14ac:dyDescent="0.2">
      <c r="A22" s="263"/>
      <c r="B22" s="263"/>
      <c r="C22" s="263"/>
      <c r="D22" s="263"/>
      <c r="E22" s="263"/>
      <c r="F22" s="263"/>
      <c r="G22" s="263"/>
      <c r="H22" s="263"/>
      <c r="I22" s="263"/>
      <c r="J22" s="263"/>
      <c r="K22" s="263"/>
      <c r="L22" s="263"/>
      <c r="M22" s="263"/>
      <c r="N22" s="263"/>
      <c r="O22" s="263"/>
    </row>
    <row r="23" spans="1:16" x14ac:dyDescent="0.2">
      <c r="A23" s="263"/>
      <c r="B23" s="263"/>
      <c r="C23" s="155" t="s">
        <v>262</v>
      </c>
      <c r="D23" s="153"/>
      <c r="E23" s="153"/>
      <c r="F23" s="154"/>
      <c r="G23" s="154"/>
      <c r="H23" s="154"/>
      <c r="I23" s="154"/>
      <c r="J23" s="154"/>
      <c r="K23" s="154"/>
      <c r="L23" s="154"/>
      <c r="M23" s="154"/>
      <c r="N23" s="154"/>
      <c r="O23" s="154"/>
    </row>
    <row r="24" spans="1:16" x14ac:dyDescent="0.2">
      <c r="A24" s="263"/>
      <c r="B24" s="263"/>
      <c r="C24" s="263"/>
      <c r="D24" s="263"/>
      <c r="E24" s="263"/>
      <c r="F24" s="263"/>
      <c r="G24" s="263"/>
      <c r="H24" s="263"/>
      <c r="I24" s="263"/>
      <c r="J24" s="263"/>
      <c r="K24" s="263"/>
      <c r="L24" s="263"/>
      <c r="M24" s="263"/>
      <c r="N24" s="263"/>
      <c r="O24" s="263"/>
    </row>
    <row r="25" spans="1:16" x14ac:dyDescent="0.2">
      <c r="A25" s="263"/>
      <c r="B25" s="263"/>
      <c r="C25" s="263"/>
      <c r="D25" s="263" t="s">
        <v>61</v>
      </c>
      <c r="E25" s="263" t="s">
        <v>50</v>
      </c>
      <c r="F25" s="263" t="s">
        <v>152</v>
      </c>
      <c r="G25" s="673">
        <f>SUM(Inputs_Delivery_Effort!S93)</f>
        <v>105.60000000000001</v>
      </c>
      <c r="H25" s="673">
        <f>SUM(Inputs_Delivery_Effort!T93)</f>
        <v>105.60000000000001</v>
      </c>
      <c r="I25" s="673">
        <f>SUM(Inputs_Delivery_Effort!U93)</f>
        <v>105.60000000000001</v>
      </c>
      <c r="J25" s="673">
        <f>SUM(Inputs_Delivery_Effort!V93)</f>
        <v>105.60000000000001</v>
      </c>
      <c r="K25" s="673">
        <f>SUM(Inputs_Delivery_Effort!W93)</f>
        <v>0</v>
      </c>
      <c r="L25" s="673">
        <f>SUM(Inputs_Delivery_Effort!X93)</f>
        <v>0</v>
      </c>
      <c r="M25" s="673">
        <f>SUM(Inputs_Delivery_Effort!Y93)</f>
        <v>52.800000000000004</v>
      </c>
      <c r="N25" s="673">
        <f>SUM(Inputs_Delivery_Effort!Z93)</f>
        <v>0</v>
      </c>
      <c r="O25" s="673">
        <f>SUM(Inputs_Delivery_Effort!AA93)</f>
        <v>52.800000000000004</v>
      </c>
    </row>
    <row r="26" spans="1:16" x14ac:dyDescent="0.2">
      <c r="A26" s="263"/>
      <c r="B26" s="263"/>
      <c r="C26" s="263"/>
      <c r="D26" s="263" t="s">
        <v>30</v>
      </c>
      <c r="E26" s="263" t="s">
        <v>50</v>
      </c>
      <c r="F26" s="263" t="s">
        <v>119</v>
      </c>
      <c r="G26" s="677">
        <f>SUM(Inputs_Delivery_Effort!S94)</f>
        <v>0</v>
      </c>
      <c r="H26" s="677">
        <f>SUM(Inputs_Delivery_Effort!T94)</f>
        <v>0</v>
      </c>
      <c r="I26" s="677">
        <f>SUM(Inputs_Delivery_Effort!U94)</f>
        <v>0</v>
      </c>
      <c r="J26" s="677">
        <f>SUM(Inputs_Delivery_Effort!V94)</f>
        <v>0</v>
      </c>
      <c r="K26" s="677">
        <f>SUM(Inputs_Delivery_Effort!W94)</f>
        <v>0</v>
      </c>
      <c r="L26" s="677">
        <f>SUM(Inputs_Delivery_Effort!X94)</f>
        <v>0</v>
      </c>
      <c r="M26" s="677">
        <f>SUM(Inputs_Delivery_Effort!Y94)</f>
        <v>0</v>
      </c>
      <c r="N26" s="677">
        <f>SUM(Inputs_Delivery_Effort!Z94)</f>
        <v>0</v>
      </c>
      <c r="O26" s="677">
        <f>SUM(Inputs_Delivery_Effort!AA94)</f>
        <v>0</v>
      </c>
    </row>
    <row r="27" spans="1:16" x14ac:dyDescent="0.2">
      <c r="A27" s="263"/>
      <c r="B27" s="263"/>
      <c r="C27" s="263"/>
      <c r="D27" s="263" t="s">
        <v>30</v>
      </c>
      <c r="E27" s="263" t="s">
        <v>43</v>
      </c>
      <c r="F27" s="263"/>
      <c r="G27" s="675">
        <f t="shared" ref="G27:O27" si="2">(G25*IT_Consultant_Daily_Rate)+G26</f>
        <v>52800.000000000007</v>
      </c>
      <c r="H27" s="675">
        <f t="shared" si="2"/>
        <v>52800.000000000007</v>
      </c>
      <c r="I27" s="675">
        <f t="shared" si="2"/>
        <v>52800.000000000007</v>
      </c>
      <c r="J27" s="675">
        <f t="shared" si="2"/>
        <v>52800.000000000007</v>
      </c>
      <c r="K27" s="675">
        <f t="shared" si="2"/>
        <v>0</v>
      </c>
      <c r="L27" s="675">
        <f t="shared" si="2"/>
        <v>0</v>
      </c>
      <c r="M27" s="675">
        <f t="shared" si="2"/>
        <v>26400.000000000004</v>
      </c>
      <c r="N27" s="675">
        <f t="shared" si="2"/>
        <v>0</v>
      </c>
      <c r="O27" s="675">
        <f t="shared" si="2"/>
        <v>26400.000000000004</v>
      </c>
    </row>
    <row r="28" spans="1:16" x14ac:dyDescent="0.2">
      <c r="A28" s="263"/>
      <c r="B28" s="263"/>
      <c r="C28" s="263"/>
      <c r="D28" s="263"/>
      <c r="E28" s="263"/>
      <c r="F28" s="263"/>
      <c r="G28" s="263"/>
      <c r="H28" s="263"/>
      <c r="I28" s="263"/>
      <c r="J28" s="263"/>
      <c r="K28" s="263"/>
      <c r="L28" s="263"/>
      <c r="M28" s="263"/>
      <c r="N28" s="263"/>
      <c r="O28" s="263"/>
    </row>
    <row r="29" spans="1:16" x14ac:dyDescent="0.2">
      <c r="A29" s="263"/>
      <c r="B29" s="263"/>
      <c r="C29" s="263"/>
      <c r="D29" s="263" t="s">
        <v>49</v>
      </c>
      <c r="E29" s="263" t="s">
        <v>47</v>
      </c>
      <c r="F29" s="263" t="s">
        <v>120</v>
      </c>
      <c r="G29" s="32">
        <f>Inputs_CPs!$F$13</f>
        <v>0.2</v>
      </c>
      <c r="H29" s="32">
        <f>Inputs_CPs!$G$13</f>
        <v>0.2</v>
      </c>
      <c r="I29" s="32">
        <f>Inputs_CPs!$H$13</f>
        <v>0.2</v>
      </c>
      <c r="J29" s="32">
        <f>Inputs_CPs!$I$13</f>
        <v>0.2</v>
      </c>
      <c r="K29" s="32">
        <f>Inputs_CPs!$N$13</f>
        <v>0.2</v>
      </c>
      <c r="L29" s="32">
        <f>Inputs_CPs!$O$13</f>
        <v>0.2</v>
      </c>
      <c r="M29" s="32">
        <f>Inputs_CPs!$K$13</f>
        <v>0.2</v>
      </c>
      <c r="N29" s="32">
        <f>Inputs_CPs!$L$13</f>
        <v>0.2</v>
      </c>
      <c r="O29" s="32">
        <f>Inputs_CPs!$M$13</f>
        <v>0.2</v>
      </c>
    </row>
    <row r="30" spans="1:16" x14ac:dyDescent="0.2">
      <c r="A30" s="263"/>
      <c r="B30" s="263"/>
      <c r="C30" s="263"/>
      <c r="D30" s="263" t="s">
        <v>30</v>
      </c>
      <c r="E30" s="263" t="s">
        <v>42</v>
      </c>
      <c r="F30" s="263"/>
      <c r="G30" s="675">
        <f t="shared" ref="G30:O30" si="3">(G25*IT_Consultant_Daily_Rate)*G29/(1+CAPEX_Factor)</f>
        <v>10560.000000000002</v>
      </c>
      <c r="H30" s="675">
        <f t="shared" si="3"/>
        <v>10560.000000000002</v>
      </c>
      <c r="I30" s="675">
        <f t="shared" si="3"/>
        <v>10560.000000000002</v>
      </c>
      <c r="J30" s="675">
        <f t="shared" si="3"/>
        <v>10560.000000000002</v>
      </c>
      <c r="K30" s="675">
        <f t="shared" si="3"/>
        <v>0</v>
      </c>
      <c r="L30" s="675">
        <f t="shared" si="3"/>
        <v>0</v>
      </c>
      <c r="M30" s="675">
        <f t="shared" si="3"/>
        <v>5280.0000000000009</v>
      </c>
      <c r="N30" s="675">
        <f t="shared" si="3"/>
        <v>0</v>
      </c>
      <c r="O30" s="675">
        <f t="shared" si="3"/>
        <v>5280.0000000000009</v>
      </c>
    </row>
    <row r="31" spans="1:16" x14ac:dyDescent="0.2">
      <c r="A31" s="263"/>
      <c r="B31" s="263"/>
      <c r="C31" s="263"/>
      <c r="D31" s="263"/>
      <c r="E31" s="263"/>
      <c r="F31" s="263"/>
      <c r="G31" s="263"/>
      <c r="H31" s="263"/>
      <c r="I31" s="263"/>
      <c r="J31" s="263"/>
      <c r="K31" s="263"/>
      <c r="L31" s="263"/>
      <c r="M31" s="263"/>
      <c r="N31" s="263"/>
      <c r="O31" s="263"/>
    </row>
    <row r="32" spans="1:16" x14ac:dyDescent="0.2">
      <c r="A32" s="263"/>
      <c r="B32" s="263"/>
      <c r="C32" s="263"/>
      <c r="D32" s="263"/>
      <c r="E32" s="263"/>
      <c r="F32" s="263"/>
      <c r="G32" s="263"/>
      <c r="H32" s="263"/>
      <c r="I32" s="263"/>
      <c r="J32" s="263"/>
      <c r="K32" s="263"/>
      <c r="L32" s="263"/>
      <c r="M32" s="263"/>
      <c r="N32" s="263"/>
      <c r="O32" s="263"/>
    </row>
    <row r="33" spans="1:15" x14ac:dyDescent="0.2">
      <c r="A33" s="263"/>
      <c r="B33" s="263"/>
      <c r="C33" s="263"/>
      <c r="D33" s="263"/>
      <c r="E33" s="263"/>
      <c r="F33" s="263"/>
      <c r="G33" s="263"/>
      <c r="H33" s="263"/>
      <c r="I33" s="263"/>
      <c r="J33" s="263"/>
      <c r="K33" s="263"/>
      <c r="L33" s="263"/>
      <c r="M33" s="263"/>
      <c r="N33" s="263"/>
      <c r="O33" s="263"/>
    </row>
    <row r="34" spans="1:15" x14ac:dyDescent="0.2">
      <c r="A34" s="263"/>
      <c r="B34" s="263"/>
      <c r="C34" s="263"/>
      <c r="D34" s="263"/>
      <c r="E34" s="263"/>
      <c r="F34" s="263"/>
      <c r="G34" s="263"/>
      <c r="H34" s="263"/>
      <c r="I34" s="263"/>
      <c r="J34" s="263"/>
      <c r="K34" s="263"/>
      <c r="L34" s="263"/>
      <c r="M34" s="263"/>
      <c r="N34" s="263"/>
      <c r="O34" s="263"/>
    </row>
    <row r="35" spans="1:15" x14ac:dyDescent="0.2">
      <c r="A35" s="263"/>
      <c r="B35" s="263"/>
      <c r="C35" s="263"/>
      <c r="D35" s="263"/>
      <c r="E35" s="263"/>
      <c r="F35" s="263"/>
      <c r="G35" s="263"/>
      <c r="H35" s="263"/>
      <c r="I35" s="263"/>
      <c r="J35" s="263"/>
      <c r="K35" s="263"/>
      <c r="L35" s="263"/>
      <c r="M35" s="263"/>
      <c r="N35" s="263"/>
      <c r="O35" s="263"/>
    </row>
    <row r="36" spans="1:15" x14ac:dyDescent="0.2">
      <c r="A36" s="263"/>
      <c r="B36" s="263"/>
      <c r="C36" s="263"/>
      <c r="D36" s="263"/>
      <c r="E36" s="263"/>
      <c r="F36" s="263"/>
      <c r="G36" s="263"/>
      <c r="H36" s="263"/>
      <c r="I36" s="263"/>
      <c r="J36" s="263"/>
      <c r="K36" s="263"/>
      <c r="L36" s="263"/>
      <c r="M36" s="263"/>
      <c r="N36" s="263"/>
      <c r="O36" s="263"/>
    </row>
  </sheetData>
  <mergeCells count="2">
    <mergeCell ref="C2:D2"/>
    <mergeCell ref="G4:J4"/>
  </mergeCell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
  <sheetViews>
    <sheetView topLeftCell="A1048576" workbookViewId="0">
      <selection activeCell="D1048576" sqref="D1048576"/>
    </sheetView>
  </sheetViews>
  <sheetFormatPr defaultRowHeight="15" zeroHeight="1" x14ac:dyDescent="0.25"/>
  <sheetData>
    <row r="1" hidden="1"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1"/>
  <sheetViews>
    <sheetView showGridLines="0" zoomScale="80" zoomScaleNormal="80" workbookViewId="0">
      <pane ySplit="13" topLeftCell="A53" activePane="bottomLeft" state="frozen"/>
      <selection pane="bottomLeft" activeCell="H65" sqref="H65"/>
    </sheetView>
  </sheetViews>
  <sheetFormatPr defaultRowHeight="15" outlineLevelRow="1" outlineLevelCol="1" x14ac:dyDescent="0.25"/>
  <cols>
    <col min="1" max="1" width="4.28515625" customWidth="1"/>
    <col min="2" max="2" width="11.5703125" bestFit="1" customWidth="1"/>
    <col min="3" max="3" width="22.5703125" customWidth="1"/>
    <col min="4" max="4" width="18.140625" customWidth="1"/>
    <col min="5" max="5" width="18.85546875" bestFit="1" customWidth="1"/>
    <col min="6" max="6" width="15.28515625" bestFit="1" customWidth="1"/>
    <col min="8" max="8" width="25" customWidth="1"/>
    <col min="9" max="9" width="18.85546875" customWidth="1"/>
    <col min="10" max="10" width="18.7109375" customWidth="1"/>
    <col min="11" max="11" width="17" bestFit="1" customWidth="1"/>
    <col min="12" max="12" width="5.28515625" customWidth="1"/>
    <col min="13" max="13" width="12.140625" customWidth="1" outlineLevel="1"/>
    <col min="14" max="14" width="11.5703125" customWidth="1" outlineLevel="1"/>
    <col min="15" max="15" width="11.7109375" bestFit="1" customWidth="1" outlineLevel="1"/>
    <col min="16" max="16" width="12.140625" customWidth="1" outlineLevel="1"/>
    <col min="17" max="18" width="12.140625" bestFit="1" customWidth="1" outlineLevel="1"/>
    <col min="19" max="20" width="11.7109375" bestFit="1" customWidth="1" outlineLevel="1"/>
    <col min="21" max="21" width="11.42578125" customWidth="1" outlineLevel="1"/>
    <col min="22" max="22" width="11.7109375" customWidth="1" outlineLevel="1"/>
    <col min="23" max="23" width="6.28515625" customWidth="1" outlineLevel="1"/>
    <col min="24" max="24" width="13" customWidth="1"/>
    <col min="25" max="25" width="11.28515625" bestFit="1" customWidth="1"/>
    <col min="26" max="26" width="11.42578125" bestFit="1" customWidth="1"/>
    <col min="27" max="27" width="12.85546875" bestFit="1" customWidth="1"/>
    <col min="29" max="29" width="13.140625" bestFit="1" customWidth="1"/>
    <col min="30" max="30" width="15.85546875" bestFit="1" customWidth="1"/>
    <col min="32" max="32" width="11" bestFit="1" customWidth="1"/>
    <col min="33" max="33" width="11.7109375" customWidth="1"/>
    <col min="39" max="39" width="11.42578125" bestFit="1" customWidth="1"/>
    <col min="40" max="40" width="12.85546875" bestFit="1" customWidth="1"/>
    <col min="42" max="42" width="10.140625" bestFit="1" customWidth="1"/>
    <col min="43" max="43" width="11.42578125" bestFit="1" customWidth="1"/>
    <col min="46" max="46" width="9.7109375" bestFit="1" customWidth="1"/>
  </cols>
  <sheetData>
    <row r="1" spans="1:25" s="10" customFormat="1" ht="12.75" x14ac:dyDescent="0.2">
      <c r="I1" s="84"/>
      <c r="K1" s="17"/>
      <c r="L1" s="17"/>
      <c r="M1" s="17"/>
      <c r="N1" s="17"/>
      <c r="O1" s="17"/>
      <c r="P1" s="17"/>
      <c r="Q1" s="17"/>
      <c r="R1" s="17"/>
      <c r="S1" s="17"/>
      <c r="T1" s="17"/>
      <c r="U1" s="17"/>
    </row>
    <row r="2" spans="1:25" s="10" customFormat="1" ht="12.75" x14ac:dyDescent="0.2">
      <c r="B2" s="10" t="s">
        <v>0</v>
      </c>
      <c r="C2" s="12" t="str">
        <f ca="1">MID(CELL("filename",A1),FIND("]",CELL("filename",A1))+1,256)</f>
        <v>NPC_Results</v>
      </c>
      <c r="D2" s="12"/>
      <c r="K2" s="17"/>
      <c r="L2" s="17"/>
      <c r="M2" s="17"/>
      <c r="N2" s="17"/>
      <c r="O2" s="17"/>
      <c r="P2" s="17"/>
      <c r="Q2" s="17"/>
      <c r="R2" s="17"/>
      <c r="S2" s="17"/>
      <c r="T2" s="17"/>
      <c r="U2" s="17"/>
    </row>
    <row r="3" spans="1:25" s="10" customFormat="1" ht="12.75" x14ac:dyDescent="0.2">
      <c r="B3" s="10" t="s">
        <v>1</v>
      </c>
      <c r="C3" s="10" t="s">
        <v>466</v>
      </c>
      <c r="H3" s="266"/>
      <c r="I3" s="266"/>
      <c r="J3" s="266"/>
      <c r="K3" s="17"/>
      <c r="L3" s="17"/>
      <c r="M3" s="17"/>
      <c r="N3" s="197"/>
      <c r="O3" s="17"/>
      <c r="P3" s="17"/>
      <c r="Q3" s="17"/>
      <c r="R3" s="17"/>
      <c r="S3" s="17"/>
      <c r="T3" s="17"/>
      <c r="U3" s="17"/>
    </row>
    <row r="4" spans="1:25" s="10" customFormat="1" ht="13.5" thickBot="1" x14ac:dyDescent="0.25">
      <c r="H4" s="266"/>
      <c r="I4" s="211"/>
      <c r="J4" s="266"/>
      <c r="K4" s="17"/>
      <c r="L4" s="17"/>
      <c r="M4" s="17"/>
      <c r="N4" s="17"/>
      <c r="O4" s="17"/>
      <c r="P4" s="17"/>
      <c r="Q4" s="17"/>
      <c r="R4" s="17"/>
      <c r="S4" s="17"/>
      <c r="T4" s="17"/>
      <c r="U4" s="17"/>
      <c r="V4" s="17"/>
    </row>
    <row r="5" spans="1:25" s="10" customFormat="1" ht="12.75" x14ac:dyDescent="0.2">
      <c r="C5" s="72"/>
      <c r="D5" s="266"/>
      <c r="H5" s="212" t="s">
        <v>66</v>
      </c>
      <c r="I5" s="213">
        <f>Disc_Rate</f>
        <v>3.5000000000000003E-2</v>
      </c>
      <c r="J5" s="198"/>
      <c r="K5" s="17"/>
      <c r="L5" s="17"/>
      <c r="M5" s="17"/>
      <c r="N5" s="17"/>
      <c r="O5" s="17"/>
      <c r="P5" s="17"/>
      <c r="Q5" s="17"/>
      <c r="R5" s="17"/>
      <c r="S5" s="17"/>
      <c r="T5" s="17"/>
      <c r="U5" s="17"/>
    </row>
    <row r="6" spans="1:25" s="10" customFormat="1" ht="12.75" x14ac:dyDescent="0.2">
      <c r="C6" s="266"/>
      <c r="D6" s="266"/>
      <c r="H6" s="162" t="s">
        <v>305</v>
      </c>
      <c r="I6" s="214">
        <f>WACC</f>
        <v>0.08</v>
      </c>
      <c r="K6" s="17"/>
      <c r="L6" s="210"/>
      <c r="M6" s="17"/>
      <c r="N6" s="17"/>
      <c r="O6" s="17"/>
      <c r="P6" s="17"/>
      <c r="Q6" s="17"/>
      <c r="R6" s="17"/>
      <c r="S6" s="17"/>
      <c r="T6" s="17"/>
      <c r="U6" s="17"/>
    </row>
    <row r="7" spans="1:25" s="10" customFormat="1" ht="12.75" x14ac:dyDescent="0.2">
      <c r="C7" s="288"/>
      <c r="D7" s="72"/>
      <c r="E7" s="280"/>
      <c r="H7" s="162" t="s">
        <v>303</v>
      </c>
      <c r="I7" s="215" t="str">
        <f>Model_Config!E15</f>
        <v>Spackman</v>
      </c>
      <c r="K7" s="17"/>
      <c r="L7" s="17"/>
      <c r="M7" s="203"/>
      <c r="N7" s="17"/>
      <c r="O7" s="17"/>
      <c r="P7" s="17"/>
      <c r="Q7" s="17"/>
      <c r="R7" s="17"/>
      <c r="S7" s="17"/>
      <c r="T7" s="17"/>
      <c r="U7" s="17"/>
    </row>
    <row r="8" spans="1:25" s="10" customFormat="1" ht="13.5" thickBot="1" x14ac:dyDescent="0.25">
      <c r="C8" s="199"/>
      <c r="D8" s="200"/>
      <c r="H8" s="167" t="s">
        <v>306</v>
      </c>
      <c r="I8" s="216">
        <f>Time_Period</f>
        <v>10</v>
      </c>
      <c r="J8" s="266"/>
      <c r="K8" s="207"/>
      <c r="L8" s="203"/>
      <c r="M8" s="198"/>
      <c r="N8" s="17"/>
      <c r="O8" s="208"/>
      <c r="P8" s="209"/>
      <c r="Q8" s="17"/>
      <c r="R8" s="17"/>
      <c r="S8" s="17"/>
      <c r="T8" s="17"/>
      <c r="U8" s="17"/>
    </row>
    <row r="9" spans="1:25" s="10" customFormat="1" ht="13.5" thickBot="1" x14ac:dyDescent="0.25">
      <c r="C9" s="199"/>
      <c r="D9" s="200"/>
      <c r="E9" s="196"/>
      <c r="H9" s="266"/>
      <c r="I9" s="266"/>
      <c r="J9" s="266"/>
      <c r="K9" s="73"/>
      <c r="L9" s="17"/>
      <c r="M9" s="17"/>
      <c r="N9" s="17"/>
      <c r="O9" s="17"/>
      <c r="P9" s="17"/>
      <c r="Q9" s="17"/>
      <c r="R9" s="17"/>
      <c r="S9" s="17"/>
      <c r="T9" s="17"/>
      <c r="U9" s="17"/>
    </row>
    <row r="10" spans="1:25" s="10" customFormat="1" ht="13.5" thickBot="1" x14ac:dyDescent="0.25">
      <c r="C10" s="199"/>
      <c r="D10" s="200"/>
      <c r="E10" s="196"/>
      <c r="H10" s="201" t="s">
        <v>292</v>
      </c>
      <c r="I10" s="256">
        <f>(1-(1/(1+WACC)^Time_Period))/WACC</f>
        <v>6.7100813989414476</v>
      </c>
      <c r="J10" s="196" t="s">
        <v>302</v>
      </c>
      <c r="K10" s="73"/>
      <c r="L10" s="17"/>
      <c r="M10" s="17"/>
      <c r="N10" s="17"/>
      <c r="O10" s="17"/>
      <c r="P10" s="17"/>
      <c r="Q10" s="17"/>
      <c r="R10" s="17"/>
      <c r="S10" s="17"/>
      <c r="T10" s="17"/>
      <c r="U10" s="17"/>
    </row>
    <row r="11" spans="1:25" s="10" customFormat="1" ht="12.75" x14ac:dyDescent="0.2">
      <c r="H11" s="266"/>
      <c r="I11" s="266"/>
      <c r="J11" s="266"/>
      <c r="K11" s="73"/>
      <c r="L11" s="17"/>
      <c r="M11" s="17"/>
      <c r="N11" s="17"/>
      <c r="O11" s="17"/>
      <c r="P11" s="17"/>
      <c r="Q11" s="17"/>
      <c r="R11" s="17"/>
      <c r="S11" s="17"/>
      <c r="T11" s="17"/>
      <c r="U11" s="17"/>
    </row>
    <row r="12" spans="1:25" s="10" customFormat="1" ht="12.75" x14ac:dyDescent="0.2">
      <c r="H12" s="72" t="s">
        <v>86</v>
      </c>
      <c r="I12" s="72" t="s">
        <v>87</v>
      </c>
      <c r="J12" s="72" t="s">
        <v>89</v>
      </c>
      <c r="K12" s="71" t="s">
        <v>88</v>
      </c>
      <c r="L12" s="39"/>
      <c r="M12" s="22" t="s">
        <v>301</v>
      </c>
      <c r="N12" s="17"/>
      <c r="O12" s="17"/>
      <c r="P12" s="263"/>
      <c r="Q12" s="17"/>
      <c r="R12" s="17"/>
      <c r="S12" s="17"/>
      <c r="T12" s="17"/>
      <c r="U12" s="17"/>
    </row>
    <row r="13" spans="1:25" s="24" customFormat="1" ht="12.75" x14ac:dyDescent="0.2">
      <c r="A13" s="19"/>
      <c r="B13" s="19"/>
      <c r="C13" s="19" t="s">
        <v>28</v>
      </c>
      <c r="D13" s="19" t="s">
        <v>199</v>
      </c>
      <c r="E13" s="19" t="s">
        <v>85</v>
      </c>
      <c r="F13" s="19" t="s">
        <v>198</v>
      </c>
      <c r="G13" s="19"/>
      <c r="H13" s="47"/>
      <c r="I13" s="47"/>
      <c r="J13" s="47"/>
      <c r="K13" s="47"/>
      <c r="L13" s="47"/>
      <c r="M13" s="19" t="s">
        <v>31</v>
      </c>
      <c r="N13" s="19" t="s">
        <v>32</v>
      </c>
      <c r="O13" s="19" t="s">
        <v>33</v>
      </c>
      <c r="P13" s="19" t="s">
        <v>34</v>
      </c>
      <c r="Q13" s="19" t="s">
        <v>35</v>
      </c>
      <c r="R13" s="19" t="s">
        <v>36</v>
      </c>
      <c r="S13" s="19" t="s">
        <v>37</v>
      </c>
      <c r="T13" s="19" t="s">
        <v>38</v>
      </c>
      <c r="U13" s="19" t="s">
        <v>39</v>
      </c>
      <c r="V13" s="26" t="s">
        <v>40</v>
      </c>
      <c r="W13" s="19"/>
      <c r="X13" s="19" t="s">
        <v>78</v>
      </c>
      <c r="Y13" s="19"/>
    </row>
    <row r="14" spans="1:25" s="10" customFormat="1" ht="12.75" x14ac:dyDescent="0.2">
      <c r="H14" s="266"/>
      <c r="I14" s="266"/>
      <c r="J14" s="266"/>
      <c r="K14" s="73">
        <v>0</v>
      </c>
      <c r="L14" s="17"/>
      <c r="M14" s="157">
        <v>1</v>
      </c>
      <c r="N14" s="157">
        <v>2</v>
      </c>
      <c r="O14" s="157">
        <v>3</v>
      </c>
      <c r="P14" s="157">
        <v>4</v>
      </c>
      <c r="Q14" s="157">
        <v>5</v>
      </c>
      <c r="R14" s="157">
        <v>6</v>
      </c>
      <c r="S14" s="157">
        <v>7</v>
      </c>
      <c r="T14" s="157">
        <v>8</v>
      </c>
      <c r="U14" s="157">
        <v>9</v>
      </c>
      <c r="V14" s="11">
        <v>10</v>
      </c>
      <c r="W14" s="157"/>
    </row>
    <row r="15" spans="1:25" s="10" customFormat="1" ht="12.75" x14ac:dyDescent="0.2">
      <c r="C15" s="186" t="s">
        <v>285</v>
      </c>
      <c r="D15" s="38"/>
      <c r="E15" s="38"/>
      <c r="F15" s="38"/>
      <c r="G15" s="38"/>
      <c r="H15" s="38"/>
      <c r="I15" s="79"/>
      <c r="J15" s="79"/>
      <c r="K15" s="79"/>
      <c r="L15" s="79"/>
      <c r="M15" s="79"/>
      <c r="N15" s="38"/>
      <c r="O15" s="38"/>
      <c r="P15" s="38"/>
      <c r="Q15" s="38"/>
      <c r="R15" s="38"/>
      <c r="S15" s="38"/>
      <c r="T15" s="38"/>
      <c r="U15" s="38"/>
      <c r="V15" s="38"/>
      <c r="W15" s="38"/>
      <c r="X15" s="38"/>
      <c r="Y15" s="38"/>
    </row>
    <row r="16" spans="1:25" s="10" customFormat="1" ht="12.75" outlineLevel="1" x14ac:dyDescent="0.2">
      <c r="H16" s="266"/>
      <c r="I16" s="266"/>
      <c r="J16" s="266"/>
      <c r="K16" s="73"/>
      <c r="L16" s="17"/>
      <c r="M16" s="17"/>
      <c r="N16" s="17"/>
      <c r="O16" s="17"/>
      <c r="P16" s="17"/>
      <c r="Q16" s="17"/>
      <c r="R16" s="17"/>
      <c r="S16" s="17"/>
      <c r="T16" s="17"/>
      <c r="U16" s="17"/>
    </row>
    <row r="17" spans="1:26" s="10" customFormat="1" ht="12.75" outlineLevel="1" x14ac:dyDescent="0.2">
      <c r="C17" s="24" t="s">
        <v>59</v>
      </c>
      <c r="D17" s="24">
        <v>1</v>
      </c>
      <c r="E17" s="677">
        <f>Inputs_Switchers!C$10</f>
        <v>0</v>
      </c>
      <c r="F17" s="491"/>
      <c r="H17" s="684"/>
      <c r="I17" s="678">
        <f>D17*SUM(General_Solutions!G18,General_Solutions!G30)</f>
        <v>13200.000000000002</v>
      </c>
      <c r="J17" s="676">
        <f t="shared" ref="J17:J23" si="0">H17+I17</f>
        <v>13200.000000000002</v>
      </c>
      <c r="K17" s="678">
        <f>D17*SUM(General_Solutions!G15,General_Solutions!G27)</f>
        <v>66000.000000000015</v>
      </c>
      <c r="L17" s="17"/>
      <c r="M17" s="676">
        <f t="shared" ref="M17:V23" si="1">IF($I$7="Spackman",((($K17/Annuity_Factor)+$J17)/((1+Disc_Rate)^(M$14-1))),($J17/((1+Disc_Rate)^(M$14-1))))</f>
        <v>23035.946254006976</v>
      </c>
      <c r="N17" s="676">
        <f t="shared" si="1"/>
        <v>22256.952902422199</v>
      </c>
      <c r="O17" s="676">
        <f t="shared" si="1"/>
        <v>21504.302321180872</v>
      </c>
      <c r="P17" s="676">
        <f t="shared" si="1"/>
        <v>20777.103691962198</v>
      </c>
      <c r="Q17" s="676">
        <f t="shared" si="1"/>
        <v>20074.496320736424</v>
      </c>
      <c r="R17" s="676">
        <f t="shared" si="1"/>
        <v>19395.648619069012</v>
      </c>
      <c r="S17" s="676">
        <f t="shared" si="1"/>
        <v>18739.75711987344</v>
      </c>
      <c r="T17" s="676">
        <f t="shared" si="1"/>
        <v>18106.045526447768</v>
      </c>
      <c r="U17" s="676">
        <f t="shared" si="1"/>
        <v>17493.763793669346</v>
      </c>
      <c r="V17" s="676">
        <f t="shared" si="1"/>
        <v>16902.187240260238</v>
      </c>
      <c r="W17" s="676"/>
      <c r="X17" s="676">
        <f t="shared" ref="X17:X23" si="2">IF($I$7="Spackman", (SUM(M17:V17)), ($K17+SUM(M17:V17)))</f>
        <v>198286.20378962849</v>
      </c>
    </row>
    <row r="18" spans="1:26" s="10" customFormat="1" ht="12.75" outlineLevel="1" x14ac:dyDescent="0.2">
      <c r="C18" s="24" t="s">
        <v>56</v>
      </c>
      <c r="D18" s="24">
        <v>1</v>
      </c>
      <c r="E18" s="677">
        <f>Inputs_Switchers!C$11</f>
        <v>0</v>
      </c>
      <c r="F18" s="491"/>
      <c r="H18" s="684"/>
      <c r="I18" s="678">
        <f>D18*SUM(General_Solutions!I18,General_Solutions!I30)</f>
        <v>13200.000000000002</v>
      </c>
      <c r="J18" s="676">
        <f t="shared" si="0"/>
        <v>13200.000000000002</v>
      </c>
      <c r="K18" s="678">
        <f>D18*SUM(General_Solutions!I15,General_Solutions!I27)</f>
        <v>66000.000000000015</v>
      </c>
      <c r="L18" s="17"/>
      <c r="M18" s="676">
        <f t="shared" si="1"/>
        <v>23035.946254006976</v>
      </c>
      <c r="N18" s="676">
        <f t="shared" si="1"/>
        <v>22256.952902422199</v>
      </c>
      <c r="O18" s="676">
        <f t="shared" si="1"/>
        <v>21504.302321180872</v>
      </c>
      <c r="P18" s="676">
        <f t="shared" si="1"/>
        <v>20777.103691962198</v>
      </c>
      <c r="Q18" s="676">
        <f t="shared" si="1"/>
        <v>20074.496320736424</v>
      </c>
      <c r="R18" s="676">
        <f t="shared" si="1"/>
        <v>19395.648619069012</v>
      </c>
      <c r="S18" s="676">
        <f t="shared" si="1"/>
        <v>18739.75711987344</v>
      </c>
      <c r="T18" s="676">
        <f t="shared" si="1"/>
        <v>18106.045526447768</v>
      </c>
      <c r="U18" s="676">
        <f t="shared" si="1"/>
        <v>17493.763793669346</v>
      </c>
      <c r="V18" s="676">
        <f t="shared" si="1"/>
        <v>16902.187240260238</v>
      </c>
      <c r="W18" s="676"/>
      <c r="X18" s="676">
        <f t="shared" si="2"/>
        <v>198286.20378962849</v>
      </c>
    </row>
    <row r="19" spans="1:26" s="10" customFormat="1" ht="12.75" outlineLevel="1" x14ac:dyDescent="0.2">
      <c r="C19" s="24" t="s">
        <v>63</v>
      </c>
      <c r="D19" s="24">
        <v>1</v>
      </c>
      <c r="E19" s="677">
        <f>Inputs_Switchers!C$12</f>
        <v>0</v>
      </c>
      <c r="F19" s="491"/>
      <c r="H19" s="684"/>
      <c r="I19" s="678">
        <f>D19*SUM(General_Solutions!J18,General_Solutions!J30)</f>
        <v>13200.000000000002</v>
      </c>
      <c r="J19" s="676">
        <f t="shared" si="0"/>
        <v>13200.000000000002</v>
      </c>
      <c r="K19" s="678">
        <f>D19*SUM(General_Solutions!J15,General_Solutions!J27)</f>
        <v>66000.000000000015</v>
      </c>
      <c r="L19" s="17"/>
      <c r="M19" s="676">
        <f t="shared" si="1"/>
        <v>23035.946254006976</v>
      </c>
      <c r="N19" s="676">
        <f t="shared" si="1"/>
        <v>22256.952902422199</v>
      </c>
      <c r="O19" s="676">
        <f t="shared" si="1"/>
        <v>21504.302321180872</v>
      </c>
      <c r="P19" s="676">
        <f t="shared" si="1"/>
        <v>20777.103691962198</v>
      </c>
      <c r="Q19" s="676">
        <f t="shared" si="1"/>
        <v>20074.496320736424</v>
      </c>
      <c r="R19" s="676">
        <f t="shared" si="1"/>
        <v>19395.648619069012</v>
      </c>
      <c r="S19" s="676">
        <f t="shared" si="1"/>
        <v>18739.75711987344</v>
      </c>
      <c r="T19" s="676">
        <f t="shared" si="1"/>
        <v>18106.045526447768</v>
      </c>
      <c r="U19" s="676">
        <f t="shared" si="1"/>
        <v>17493.763793669346</v>
      </c>
      <c r="V19" s="676">
        <f t="shared" si="1"/>
        <v>16902.187240260238</v>
      </c>
      <c r="W19" s="676"/>
      <c r="X19" s="676">
        <f t="shared" si="2"/>
        <v>198286.20378962849</v>
      </c>
    </row>
    <row r="20" spans="1:26" s="10" customFormat="1" ht="12.75" outlineLevel="1" x14ac:dyDescent="0.2">
      <c r="C20" s="24" t="s">
        <v>62</v>
      </c>
      <c r="D20" s="24">
        <v>1</v>
      </c>
      <c r="E20" s="677">
        <f>Inputs_Switchers!C$13</f>
        <v>0</v>
      </c>
      <c r="F20" s="491"/>
      <c r="H20" s="684"/>
      <c r="I20" s="678">
        <f>D20*SUM(General_Solutions!H18,General_Solutions!H30)</f>
        <v>13200.000000000002</v>
      </c>
      <c r="J20" s="676">
        <f t="shared" si="0"/>
        <v>13200.000000000002</v>
      </c>
      <c r="K20" s="678">
        <f>D20*SUM(General_Solutions!H15,General_Solutions!H27)</f>
        <v>66000.000000000015</v>
      </c>
      <c r="L20" s="17"/>
      <c r="M20" s="676">
        <f t="shared" si="1"/>
        <v>23035.946254006976</v>
      </c>
      <c r="N20" s="676">
        <f t="shared" si="1"/>
        <v>22256.952902422199</v>
      </c>
      <c r="O20" s="676">
        <f t="shared" si="1"/>
        <v>21504.302321180872</v>
      </c>
      <c r="P20" s="676">
        <f t="shared" si="1"/>
        <v>20777.103691962198</v>
      </c>
      <c r="Q20" s="676">
        <f t="shared" si="1"/>
        <v>20074.496320736424</v>
      </c>
      <c r="R20" s="676">
        <f t="shared" si="1"/>
        <v>19395.648619069012</v>
      </c>
      <c r="S20" s="676">
        <f t="shared" si="1"/>
        <v>18739.75711987344</v>
      </c>
      <c r="T20" s="676">
        <f t="shared" si="1"/>
        <v>18106.045526447768</v>
      </c>
      <c r="U20" s="676">
        <f t="shared" si="1"/>
        <v>17493.763793669346</v>
      </c>
      <c r="V20" s="676">
        <f t="shared" si="1"/>
        <v>16902.187240260238</v>
      </c>
      <c r="W20" s="676"/>
      <c r="X20" s="676">
        <f t="shared" si="2"/>
        <v>198286.20378962849</v>
      </c>
    </row>
    <row r="21" spans="1:26" s="10" customFormat="1" ht="12.75" outlineLevel="1" x14ac:dyDescent="0.2">
      <c r="C21" s="24" t="s">
        <v>46</v>
      </c>
      <c r="D21" s="24">
        <v>1</v>
      </c>
      <c r="E21" s="677">
        <v>0</v>
      </c>
      <c r="F21" s="491"/>
      <c r="H21" s="684"/>
      <c r="I21" s="679">
        <f>D21*SUM(General_Solutions!K18,General_Solutions!K30)</f>
        <v>0</v>
      </c>
      <c r="J21" s="677">
        <f t="shared" si="0"/>
        <v>0</v>
      </c>
      <c r="K21" s="679">
        <f>D21*SUM(General_Solutions!K15,General_Solutions!K27)</f>
        <v>0</v>
      </c>
      <c r="L21" s="687"/>
      <c r="M21" s="679">
        <f t="shared" si="1"/>
        <v>0</v>
      </c>
      <c r="N21" s="679">
        <f t="shared" si="1"/>
        <v>0</v>
      </c>
      <c r="O21" s="679">
        <f t="shared" si="1"/>
        <v>0</v>
      </c>
      <c r="P21" s="679">
        <f t="shared" si="1"/>
        <v>0</v>
      </c>
      <c r="Q21" s="679">
        <f t="shared" si="1"/>
        <v>0</v>
      </c>
      <c r="R21" s="679">
        <f t="shared" si="1"/>
        <v>0</v>
      </c>
      <c r="S21" s="679">
        <f t="shared" si="1"/>
        <v>0</v>
      </c>
      <c r="T21" s="679">
        <f t="shared" si="1"/>
        <v>0</v>
      </c>
      <c r="U21" s="679">
        <f t="shared" si="1"/>
        <v>0</v>
      </c>
      <c r="V21" s="679">
        <f t="shared" si="1"/>
        <v>0</v>
      </c>
      <c r="W21" s="679"/>
      <c r="X21" s="679">
        <f t="shared" si="2"/>
        <v>0</v>
      </c>
    </row>
    <row r="22" spans="1:26" s="10" customFormat="1" ht="12.75" outlineLevel="1" x14ac:dyDescent="0.2">
      <c r="C22" s="24" t="s">
        <v>79</v>
      </c>
      <c r="D22" s="24">
        <v>1</v>
      </c>
      <c r="E22" s="677">
        <v>0</v>
      </c>
      <c r="F22" s="491"/>
      <c r="H22" s="684"/>
      <c r="I22" s="679">
        <f>D22*SUM(General_Solutions!L18,General_Solutions!L30)</f>
        <v>0</v>
      </c>
      <c r="J22" s="677">
        <f t="shared" si="0"/>
        <v>0</v>
      </c>
      <c r="K22" s="679">
        <f>D22*SUM(General_Solutions!L15,General_Solutions!L27)</f>
        <v>0</v>
      </c>
      <c r="L22" s="687"/>
      <c r="M22" s="679">
        <f t="shared" si="1"/>
        <v>0</v>
      </c>
      <c r="N22" s="679">
        <f t="shared" si="1"/>
        <v>0</v>
      </c>
      <c r="O22" s="679">
        <f t="shared" si="1"/>
        <v>0</v>
      </c>
      <c r="P22" s="679">
        <f t="shared" si="1"/>
        <v>0</v>
      </c>
      <c r="Q22" s="679">
        <f t="shared" si="1"/>
        <v>0</v>
      </c>
      <c r="R22" s="679">
        <f t="shared" si="1"/>
        <v>0</v>
      </c>
      <c r="S22" s="679">
        <f t="shared" si="1"/>
        <v>0</v>
      </c>
      <c r="T22" s="679">
        <f t="shared" si="1"/>
        <v>0</v>
      </c>
      <c r="U22" s="679">
        <f t="shared" si="1"/>
        <v>0</v>
      </c>
      <c r="V22" s="679">
        <f t="shared" si="1"/>
        <v>0</v>
      </c>
      <c r="W22" s="679"/>
      <c r="X22" s="679">
        <f t="shared" si="2"/>
        <v>0</v>
      </c>
    </row>
    <row r="23" spans="1:26" s="10" customFormat="1" ht="12.75" outlineLevel="1" x14ac:dyDescent="0.2">
      <c r="C23" s="24" t="s">
        <v>82</v>
      </c>
      <c r="D23" s="24">
        <f>Inputs_General!$G$12</f>
        <v>11</v>
      </c>
      <c r="E23" s="677">
        <f>Inputs_Switchers!$C$14</f>
        <v>0</v>
      </c>
      <c r="F23" s="491"/>
      <c r="H23" s="684"/>
      <c r="I23" s="678">
        <f>D23*SUM(General_Solutions!M18,General_Solutions!M30)</f>
        <v>72600.000000000015</v>
      </c>
      <c r="J23" s="676">
        <f t="shared" si="0"/>
        <v>72600.000000000015</v>
      </c>
      <c r="K23" s="678">
        <f>D23*SUM(General_Solutions!M15,General_Solutions!M27)</f>
        <v>363000.00000000006</v>
      </c>
      <c r="L23" s="17"/>
      <c r="M23" s="676">
        <f t="shared" si="1"/>
        <v>126697.70439703838</v>
      </c>
      <c r="N23" s="676">
        <f t="shared" si="1"/>
        <v>122413.24096332211</v>
      </c>
      <c r="O23" s="676">
        <f t="shared" si="1"/>
        <v>118273.6627664948</v>
      </c>
      <c r="P23" s="676">
        <f t="shared" si="1"/>
        <v>114274.07030579209</v>
      </c>
      <c r="Q23" s="676">
        <f t="shared" si="1"/>
        <v>110409.72976405034</v>
      </c>
      <c r="R23" s="676">
        <f t="shared" si="1"/>
        <v>106676.06740487956</v>
      </c>
      <c r="S23" s="676">
        <f t="shared" si="1"/>
        <v>103068.66415930392</v>
      </c>
      <c r="T23" s="676">
        <f t="shared" si="1"/>
        <v>99583.250395462732</v>
      </c>
      <c r="U23" s="676">
        <f t="shared" si="1"/>
        <v>96215.70086518141</v>
      </c>
      <c r="V23" s="676">
        <f t="shared" si="1"/>
        <v>92962.029821431322</v>
      </c>
      <c r="W23" s="676"/>
      <c r="X23" s="676">
        <f t="shared" si="2"/>
        <v>1090574.1208429567</v>
      </c>
    </row>
    <row r="24" spans="1:26" s="10" customFormat="1" ht="13.5" outlineLevel="1" thickBot="1" x14ac:dyDescent="0.25">
      <c r="C24" s="688"/>
      <c r="D24" s="688"/>
      <c r="E24" s="688"/>
      <c r="F24" s="688"/>
      <c r="G24" s="688"/>
      <c r="H24" s="688"/>
      <c r="I24" s="688"/>
      <c r="J24" s="688"/>
      <c r="K24" s="688"/>
      <c r="L24" s="688"/>
      <c r="M24" s="688"/>
      <c r="N24" s="688"/>
      <c r="O24" s="688"/>
      <c r="P24" s="688"/>
      <c r="Q24" s="688"/>
      <c r="R24" s="688"/>
      <c r="S24" s="688"/>
      <c r="T24" s="688"/>
      <c r="U24" s="688"/>
      <c r="V24" s="688"/>
      <c r="W24" s="688"/>
      <c r="X24" s="688"/>
    </row>
    <row r="25" spans="1:26" s="10" customFormat="1" ht="13.5" thickTop="1" x14ac:dyDescent="0.2">
      <c r="C25" s="24" t="s">
        <v>44</v>
      </c>
      <c r="D25" s="263">
        <f>SUM(D17:D23)</f>
        <v>17</v>
      </c>
      <c r="E25" s="676">
        <f>Inputs_Switchers!$C$15</f>
        <v>883820.80200224102</v>
      </c>
      <c r="F25" s="491"/>
      <c r="G25" s="263"/>
      <c r="H25" s="684"/>
      <c r="I25" s="676">
        <f>SUM(I17:I23)</f>
        <v>125400.00000000003</v>
      </c>
      <c r="J25" s="676">
        <f>SUM(J17:J23)</f>
        <v>125400.00000000003</v>
      </c>
      <c r="K25" s="676">
        <f>SUM(K17:K23)</f>
        <v>627000.00000000012</v>
      </c>
      <c r="L25" s="263"/>
      <c r="M25" s="676">
        <f t="shared" ref="M25:V25" si="3">IF($I$7="Spackman",((($K25/Annuity_Factor)+$J25)/((1+Disc_Rate)^(M$14-1))),($J25/((1+Disc_Rate)^(M$14-1))))</f>
        <v>218841.4894130663</v>
      </c>
      <c r="N25" s="676">
        <f t="shared" si="3"/>
        <v>211441.05257301094</v>
      </c>
      <c r="O25" s="676">
        <f t="shared" si="3"/>
        <v>204290.87205121829</v>
      </c>
      <c r="P25" s="676">
        <f t="shared" si="3"/>
        <v>197382.48507364088</v>
      </c>
      <c r="Q25" s="676">
        <f t="shared" si="3"/>
        <v>190707.71504699605</v>
      </c>
      <c r="R25" s="676">
        <f t="shared" si="3"/>
        <v>184258.66188115563</v>
      </c>
      <c r="S25" s="676">
        <f t="shared" si="3"/>
        <v>178027.69263879769</v>
      </c>
      <c r="T25" s="676">
        <f t="shared" si="3"/>
        <v>172007.43250125382</v>
      </c>
      <c r="U25" s="676">
        <f t="shared" si="3"/>
        <v>166190.7560398588</v>
      </c>
      <c r="V25" s="676">
        <f t="shared" si="3"/>
        <v>160570.77878247231</v>
      </c>
      <c r="W25" s="676"/>
      <c r="X25" s="676">
        <f>IF($I$7="Spackman", (SUM(M25:V25)), ($K25+SUM(M25:V25)))</f>
        <v>1883718.9360014705</v>
      </c>
    </row>
    <row r="26" spans="1:26" s="10" customFormat="1" ht="12.75" x14ac:dyDescent="0.2">
      <c r="C26" s="24"/>
      <c r="D26" s="263"/>
      <c r="E26" s="676"/>
      <c r="F26" s="491"/>
      <c r="G26" s="263"/>
      <c r="H26" s="491"/>
      <c r="I26" s="676"/>
      <c r="J26" s="676"/>
      <c r="K26" s="676"/>
      <c r="L26" s="263"/>
      <c r="M26" s="676"/>
      <c r="N26" s="676"/>
      <c r="O26" s="676"/>
      <c r="P26" s="676"/>
      <c r="Q26" s="676"/>
      <c r="R26" s="676"/>
      <c r="S26" s="676"/>
      <c r="T26" s="676"/>
      <c r="U26" s="676"/>
      <c r="V26" s="676"/>
      <c r="W26" s="676"/>
      <c r="X26" s="676"/>
    </row>
    <row r="27" spans="1:26" s="10" customFormat="1" ht="12.75" x14ac:dyDescent="0.2">
      <c r="C27" s="24"/>
      <c r="H27" s="266"/>
      <c r="I27" s="266"/>
      <c r="J27" s="266"/>
      <c r="K27" s="73"/>
      <c r="L27" s="17"/>
      <c r="M27" s="17"/>
      <c r="N27" s="17"/>
      <c r="O27" s="17"/>
      <c r="P27" s="17"/>
      <c r="Q27" s="17"/>
      <c r="R27" s="17"/>
      <c r="S27" s="17"/>
      <c r="T27" s="17"/>
      <c r="U27" s="17"/>
    </row>
    <row r="28" spans="1:26" s="10" customFormat="1" ht="12.75" x14ac:dyDescent="0.2">
      <c r="H28" s="72" t="s">
        <v>86</v>
      </c>
      <c r="I28" s="72" t="s">
        <v>87</v>
      </c>
      <c r="J28" s="72" t="s">
        <v>89</v>
      </c>
      <c r="K28" s="71" t="s">
        <v>88</v>
      </c>
      <c r="L28" s="39"/>
      <c r="M28" s="22" t="s">
        <v>95</v>
      </c>
      <c r="N28" s="17"/>
      <c r="O28" s="17"/>
      <c r="P28" s="263"/>
      <c r="Q28" s="17"/>
      <c r="R28" s="17"/>
      <c r="S28" s="17"/>
      <c r="T28" s="17"/>
      <c r="U28" s="17"/>
    </row>
    <row r="29" spans="1:26" s="24" customFormat="1" ht="12.75" x14ac:dyDescent="0.2">
      <c r="A29" s="19"/>
      <c r="B29" s="19"/>
      <c r="C29" s="19" t="s">
        <v>28</v>
      </c>
      <c r="D29" s="19" t="s">
        <v>199</v>
      </c>
      <c r="E29" s="19" t="s">
        <v>85</v>
      </c>
      <c r="F29" s="19" t="s">
        <v>198</v>
      </c>
      <c r="G29" s="19"/>
      <c r="H29" s="47"/>
      <c r="I29" s="47"/>
      <c r="J29" s="47"/>
      <c r="K29" s="47"/>
      <c r="L29" s="47"/>
      <c r="M29" s="19" t="s">
        <v>31</v>
      </c>
      <c r="N29" s="19" t="s">
        <v>32</v>
      </c>
      <c r="O29" s="19" t="s">
        <v>33</v>
      </c>
      <c r="P29" s="19" t="s">
        <v>34</v>
      </c>
      <c r="Q29" s="19" t="s">
        <v>35</v>
      </c>
      <c r="R29" s="19" t="s">
        <v>36</v>
      </c>
      <c r="S29" s="19" t="s">
        <v>37</v>
      </c>
      <c r="T29" s="19" t="s">
        <v>38</v>
      </c>
      <c r="U29" s="19" t="s">
        <v>39</v>
      </c>
      <c r="V29" s="19" t="s">
        <v>40</v>
      </c>
      <c r="W29" s="19"/>
      <c r="X29" s="19" t="s">
        <v>78</v>
      </c>
      <c r="Y29" s="19"/>
    </row>
    <row r="30" spans="1:26" x14ac:dyDescent="0.25">
      <c r="A30" s="263"/>
      <c r="B30" s="263"/>
      <c r="C30" s="263"/>
      <c r="D30" s="263"/>
      <c r="E30" s="263"/>
      <c r="F30" s="263"/>
      <c r="G30" s="263"/>
      <c r="H30" s="263"/>
      <c r="I30" s="263"/>
      <c r="J30" s="263"/>
      <c r="K30" s="263"/>
      <c r="L30" s="263"/>
      <c r="M30" s="263"/>
      <c r="N30" s="263"/>
      <c r="O30" s="263"/>
      <c r="P30" s="263"/>
      <c r="Q30" s="263"/>
      <c r="R30" s="263"/>
      <c r="S30" s="263"/>
      <c r="T30" s="263"/>
      <c r="U30" s="263"/>
      <c r="V30" s="263"/>
      <c r="W30" s="157"/>
      <c r="X30" s="263"/>
      <c r="Y30" s="263"/>
      <c r="Z30" s="263"/>
    </row>
    <row r="31" spans="1:26" x14ac:dyDescent="0.25">
      <c r="A31" s="263"/>
      <c r="B31" s="263"/>
      <c r="C31" s="38" t="s">
        <v>178</v>
      </c>
      <c r="D31" s="38"/>
      <c r="E31" s="38"/>
      <c r="F31" s="38"/>
      <c r="G31" s="38"/>
      <c r="H31" s="38"/>
      <c r="I31" s="79"/>
      <c r="J31" s="79"/>
      <c r="K31" s="79"/>
      <c r="L31" s="79"/>
      <c r="M31" s="79"/>
      <c r="N31" s="38"/>
      <c r="O31" s="38"/>
      <c r="P31" s="38"/>
      <c r="Q31" s="38"/>
      <c r="R31" s="38"/>
      <c r="S31" s="38"/>
      <c r="T31" s="38"/>
      <c r="U31" s="38"/>
      <c r="V31" s="38"/>
      <c r="W31" s="38"/>
      <c r="X31" s="38"/>
      <c r="Y31" s="38"/>
      <c r="Z31" s="263"/>
    </row>
    <row r="32" spans="1:26" outlineLevel="1" x14ac:dyDescent="0.25">
      <c r="A32" s="263"/>
      <c r="B32" s="263"/>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row>
    <row r="33" spans="1:46" outlineLevel="1" x14ac:dyDescent="0.25">
      <c r="A33" s="263"/>
      <c r="B33" s="263"/>
      <c r="C33" s="24" t="s">
        <v>59</v>
      </c>
      <c r="D33" s="24">
        <v>1</v>
      </c>
      <c r="E33" s="677">
        <f>Inputs_Switchers!C$10</f>
        <v>0</v>
      </c>
      <c r="F33" s="112">
        <f t="shared" ref="F33:F39" si="4">(eCR_EMP_SwitchCost)</f>
        <v>-0.38759999999999994</v>
      </c>
      <c r="G33" s="263"/>
      <c r="H33" s="684">
        <f t="shared" ref="H33:H39" si="5">E33*F33</f>
        <v>0</v>
      </c>
      <c r="I33" s="684">
        <f>(D33*SUM('eC&amp;R-EMP Process Workings'!G$8,'eC&amp;R-EMP System Workings'!G$8))+($I17)</f>
        <v>99937.666666666672</v>
      </c>
      <c r="J33" s="676">
        <f t="shared" ref="J33:J39" si="6">H33+I33</f>
        <v>99937.666666666672</v>
      </c>
      <c r="K33" s="684">
        <f>(D33*SUM('eC&amp;R-EMP Process Workings'!G$7,'eC&amp;R-EMP System Workings'!G$7))+($K17)</f>
        <v>561068.33333333337</v>
      </c>
      <c r="L33" s="676"/>
      <c r="M33" s="676">
        <f t="shared" ref="M33:V39" si="7">IF($I$7="Spackman",((($K33/Annuity_Factor)+$J33)/((1+Disc_Rate)^(M$14-1))),($J33/((1+Disc_Rate)^(M$14-1))))</f>
        <v>183553.39350745358</v>
      </c>
      <c r="N33" s="676">
        <f t="shared" si="7"/>
        <v>177346.27392024503</v>
      </c>
      <c r="O33" s="676">
        <f t="shared" si="7"/>
        <v>171349.05692777297</v>
      </c>
      <c r="P33" s="676">
        <f t="shared" si="7"/>
        <v>165554.6443746599</v>
      </c>
      <c r="Q33" s="676">
        <f t="shared" si="7"/>
        <v>159956.17813976802</v>
      </c>
      <c r="R33" s="676">
        <f t="shared" si="7"/>
        <v>154547.03201909957</v>
      </c>
      <c r="S33" s="676">
        <f t="shared" si="7"/>
        <v>149320.80388318797</v>
      </c>
      <c r="T33" s="676">
        <f t="shared" si="7"/>
        <v>144271.30809969854</v>
      </c>
      <c r="U33" s="676">
        <f t="shared" si="7"/>
        <v>139392.56821226914</v>
      </c>
      <c r="V33" s="676">
        <f t="shared" si="7"/>
        <v>134678.80986692672</v>
      </c>
      <c r="W33" s="676"/>
      <c r="X33" s="676">
        <f t="shared" ref="X33:X39" si="8">IF($I$7="Spackman", (SUM(M33:V33)), ($K33+SUM(M33:V33)))</f>
        <v>1579970.0689510813</v>
      </c>
      <c r="Y33" s="263"/>
      <c r="Z33" s="684"/>
      <c r="AA33" s="143"/>
      <c r="AC33" s="143"/>
      <c r="AD33" s="143"/>
      <c r="AF33" s="246"/>
      <c r="AG33" s="246"/>
      <c r="AI33" s="141"/>
      <c r="AM33" s="143"/>
      <c r="AN33" s="143"/>
      <c r="AP33" s="143"/>
      <c r="AQ33" s="143"/>
      <c r="AS33" s="143"/>
      <c r="AT33" s="143"/>
    </row>
    <row r="34" spans="1:46" outlineLevel="1" x14ac:dyDescent="0.25">
      <c r="A34" s="263"/>
      <c r="B34" s="263"/>
      <c r="C34" s="24" t="s">
        <v>56</v>
      </c>
      <c r="D34" s="24">
        <v>1</v>
      </c>
      <c r="E34" s="677">
        <f>Inputs_Switchers!C$11</f>
        <v>0</v>
      </c>
      <c r="F34" s="112">
        <f t="shared" si="4"/>
        <v>-0.38759999999999994</v>
      </c>
      <c r="G34" s="263"/>
      <c r="H34" s="684">
        <f t="shared" si="5"/>
        <v>0</v>
      </c>
      <c r="I34" s="684">
        <f>(D34*SUM('eC&amp;R-EMP Process Workings'!I$8,'eC&amp;R-EMP System Workings'!I$8))+($I18)</f>
        <v>99937.666666666672</v>
      </c>
      <c r="J34" s="676">
        <f t="shared" si="6"/>
        <v>99937.666666666672</v>
      </c>
      <c r="K34" s="684">
        <f>(D34*SUM('eC&amp;R-EMP Process Workings'!I$7,'eC&amp;R-EMP System Workings'!I$7))+($K18)</f>
        <v>561068.33333333337</v>
      </c>
      <c r="L34" s="676"/>
      <c r="M34" s="676">
        <f t="shared" si="7"/>
        <v>183553.39350745358</v>
      </c>
      <c r="N34" s="676">
        <f t="shared" si="7"/>
        <v>177346.27392024503</v>
      </c>
      <c r="O34" s="676">
        <f t="shared" si="7"/>
        <v>171349.05692777297</v>
      </c>
      <c r="P34" s="676">
        <f t="shared" si="7"/>
        <v>165554.6443746599</v>
      </c>
      <c r="Q34" s="676">
        <f t="shared" si="7"/>
        <v>159956.17813976802</v>
      </c>
      <c r="R34" s="676">
        <f t="shared" si="7"/>
        <v>154547.03201909957</v>
      </c>
      <c r="S34" s="676">
        <f t="shared" si="7"/>
        <v>149320.80388318797</v>
      </c>
      <c r="T34" s="676">
        <f t="shared" si="7"/>
        <v>144271.30809969854</v>
      </c>
      <c r="U34" s="676">
        <f t="shared" si="7"/>
        <v>139392.56821226914</v>
      </c>
      <c r="V34" s="676">
        <f t="shared" si="7"/>
        <v>134678.80986692672</v>
      </c>
      <c r="W34" s="676"/>
      <c r="X34" s="676">
        <f t="shared" si="8"/>
        <v>1579970.0689510813</v>
      </c>
      <c r="Y34" s="263"/>
      <c r="Z34" s="684"/>
      <c r="AA34" s="143"/>
      <c r="AC34" s="143"/>
      <c r="AD34" s="143"/>
      <c r="AF34" s="246"/>
      <c r="AG34" s="246"/>
      <c r="AI34" s="141"/>
      <c r="AM34" s="143"/>
      <c r="AN34" s="143"/>
      <c r="AP34" s="143"/>
      <c r="AQ34" s="143"/>
      <c r="AS34" s="143"/>
      <c r="AT34" s="143"/>
    </row>
    <row r="35" spans="1:46" outlineLevel="1" x14ac:dyDescent="0.25">
      <c r="A35" s="263"/>
      <c r="B35" s="263"/>
      <c r="C35" s="24" t="s">
        <v>63</v>
      </c>
      <c r="D35" s="24">
        <v>1</v>
      </c>
      <c r="E35" s="677">
        <f>Inputs_Switchers!C$12</f>
        <v>0</v>
      </c>
      <c r="F35" s="112">
        <f t="shared" si="4"/>
        <v>-0.38759999999999994</v>
      </c>
      <c r="G35" s="263"/>
      <c r="H35" s="684">
        <f t="shared" si="5"/>
        <v>0</v>
      </c>
      <c r="I35" s="684">
        <f>(D35*SUM('eC&amp;R-EMP Process Workings'!J$8,'eC&amp;R-EMP System Workings'!J$8))+($I19)</f>
        <v>99937.666666666672</v>
      </c>
      <c r="J35" s="676">
        <f t="shared" si="6"/>
        <v>99937.666666666672</v>
      </c>
      <c r="K35" s="684">
        <f>(D35*SUM('eC&amp;R-EMP Process Workings'!J$7,'eC&amp;R-EMP System Workings'!J$7))+($K19)</f>
        <v>561068.33333333337</v>
      </c>
      <c r="L35" s="263"/>
      <c r="M35" s="676">
        <f t="shared" si="7"/>
        <v>183553.39350745358</v>
      </c>
      <c r="N35" s="676">
        <f t="shared" si="7"/>
        <v>177346.27392024503</v>
      </c>
      <c r="O35" s="676">
        <f t="shared" si="7"/>
        <v>171349.05692777297</v>
      </c>
      <c r="P35" s="676">
        <f t="shared" si="7"/>
        <v>165554.6443746599</v>
      </c>
      <c r="Q35" s="676">
        <f t="shared" si="7"/>
        <v>159956.17813976802</v>
      </c>
      <c r="R35" s="676">
        <f t="shared" si="7"/>
        <v>154547.03201909957</v>
      </c>
      <c r="S35" s="676">
        <f t="shared" si="7"/>
        <v>149320.80388318797</v>
      </c>
      <c r="T35" s="676">
        <f t="shared" si="7"/>
        <v>144271.30809969854</v>
      </c>
      <c r="U35" s="676">
        <f t="shared" si="7"/>
        <v>139392.56821226914</v>
      </c>
      <c r="V35" s="676">
        <f t="shared" si="7"/>
        <v>134678.80986692672</v>
      </c>
      <c r="W35" s="676"/>
      <c r="X35" s="676">
        <f t="shared" si="8"/>
        <v>1579970.0689510813</v>
      </c>
      <c r="Y35" s="263"/>
      <c r="Z35" s="684"/>
      <c r="AA35" s="143"/>
      <c r="AC35" s="143"/>
      <c r="AD35" s="143"/>
      <c r="AF35" s="246"/>
      <c r="AG35" s="246"/>
      <c r="AI35" s="141"/>
      <c r="AM35" s="143"/>
      <c r="AN35" s="143"/>
      <c r="AP35" s="143"/>
      <c r="AQ35" s="143"/>
      <c r="AS35" s="143"/>
      <c r="AT35" s="143"/>
    </row>
    <row r="36" spans="1:46" outlineLevel="1" x14ac:dyDescent="0.25">
      <c r="A36" s="263"/>
      <c r="B36" s="263"/>
      <c r="C36" s="24" t="s">
        <v>62</v>
      </c>
      <c r="D36" s="24">
        <v>1</v>
      </c>
      <c r="E36" s="677">
        <f>Inputs_Switchers!C$13</f>
        <v>0</v>
      </c>
      <c r="F36" s="112">
        <f t="shared" si="4"/>
        <v>-0.38759999999999994</v>
      </c>
      <c r="G36" s="263"/>
      <c r="H36" s="684">
        <f t="shared" si="5"/>
        <v>0</v>
      </c>
      <c r="I36" s="684">
        <f>(D36*SUM('eC&amp;R-EMP Process Workings'!H$8,'eC&amp;R-EMP System Workings'!H$8))+($I20)</f>
        <v>117531</v>
      </c>
      <c r="J36" s="676">
        <f t="shared" si="6"/>
        <v>117531</v>
      </c>
      <c r="K36" s="684">
        <f>(D36*SUM('eC&amp;R-EMP Process Workings'!H$7,'eC&amp;R-EMP System Workings'!H$7))+($K20)</f>
        <v>718835</v>
      </c>
      <c r="L36" s="263"/>
      <c r="M36" s="676">
        <f t="shared" si="7"/>
        <v>224658.61250756215</v>
      </c>
      <c r="N36" s="676">
        <f t="shared" si="7"/>
        <v>217061.46135996346</v>
      </c>
      <c r="O36" s="676">
        <f t="shared" si="7"/>
        <v>209721.2187052787</v>
      </c>
      <c r="P36" s="676">
        <f t="shared" si="7"/>
        <v>202629.19681669443</v>
      </c>
      <c r="Q36" s="676">
        <f t="shared" si="7"/>
        <v>195777.00175526031</v>
      </c>
      <c r="R36" s="676">
        <f t="shared" si="7"/>
        <v>189156.52343503415</v>
      </c>
      <c r="S36" s="676">
        <f t="shared" si="7"/>
        <v>182759.92602418759</v>
      </c>
      <c r="T36" s="676">
        <f t="shared" si="7"/>
        <v>176579.63867071265</v>
      </c>
      <c r="U36" s="676">
        <f t="shared" si="7"/>
        <v>170608.34654175138</v>
      </c>
      <c r="V36" s="676">
        <f t="shared" si="7"/>
        <v>164838.98216594339</v>
      </c>
      <c r="W36" s="676"/>
      <c r="X36" s="676">
        <f t="shared" si="8"/>
        <v>1933790.9079823883</v>
      </c>
      <c r="Y36" s="263"/>
      <c r="Z36" s="684"/>
      <c r="AA36" s="143"/>
      <c r="AC36" s="143"/>
      <c r="AD36" s="143"/>
      <c r="AF36" s="246"/>
      <c r="AG36" s="246"/>
      <c r="AI36" s="141"/>
      <c r="AM36" s="143"/>
      <c r="AN36" s="143"/>
      <c r="AP36" s="143"/>
      <c r="AQ36" s="143"/>
      <c r="AS36" s="143"/>
      <c r="AT36" s="143"/>
    </row>
    <row r="37" spans="1:46" outlineLevel="1" x14ac:dyDescent="0.25">
      <c r="A37" s="263"/>
      <c r="B37" s="263"/>
      <c r="C37" s="24" t="s">
        <v>46</v>
      </c>
      <c r="D37" s="24">
        <v>1</v>
      </c>
      <c r="E37" s="677">
        <v>0</v>
      </c>
      <c r="F37" s="112">
        <f t="shared" si="4"/>
        <v>-0.38759999999999994</v>
      </c>
      <c r="G37" s="263"/>
      <c r="H37" s="684">
        <f t="shared" si="5"/>
        <v>0</v>
      </c>
      <c r="I37" s="684">
        <f>(D37*SUM('eC&amp;R-EMP Process Workings'!K$8,'eC&amp;R-EMP System Workings'!K$8))+($I21)</f>
        <v>43560.000000000015</v>
      </c>
      <c r="J37" s="676">
        <f t="shared" si="6"/>
        <v>43560.000000000015</v>
      </c>
      <c r="K37" s="684">
        <f>(D37*SUM('eC&amp;R-EMP Process Workings'!K$7,'eC&amp;R-EMP System Workings'!K$7))+($K21)</f>
        <v>217800.00000000006</v>
      </c>
      <c r="L37" s="263"/>
      <c r="M37" s="676">
        <f t="shared" si="7"/>
        <v>76018.622638223038</v>
      </c>
      <c r="N37" s="676">
        <f t="shared" si="7"/>
        <v>73447.944577993272</v>
      </c>
      <c r="O37" s="676">
        <f t="shared" si="7"/>
        <v>70964.19765989689</v>
      </c>
      <c r="P37" s="676">
        <f t="shared" si="7"/>
        <v>68564.442183475257</v>
      </c>
      <c r="Q37" s="676">
        <f t="shared" si="7"/>
        <v>66245.837858430212</v>
      </c>
      <c r="R37" s="676">
        <f t="shared" si="7"/>
        <v>64005.640442927746</v>
      </c>
      <c r="S37" s="676">
        <f t="shared" si="7"/>
        <v>61841.198495582365</v>
      </c>
      <c r="T37" s="676">
        <f t="shared" si="7"/>
        <v>59749.950237277648</v>
      </c>
      <c r="U37" s="676">
        <f t="shared" si="7"/>
        <v>57729.420519108855</v>
      </c>
      <c r="V37" s="676">
        <f t="shared" si="7"/>
        <v>55777.217892858804</v>
      </c>
      <c r="W37" s="677"/>
      <c r="X37" s="676">
        <f t="shared" si="8"/>
        <v>654344.47250577412</v>
      </c>
      <c r="Y37" s="263"/>
      <c r="Z37" s="684"/>
      <c r="AA37" s="143"/>
      <c r="AC37" s="143"/>
      <c r="AD37" s="143"/>
      <c r="AF37" s="246"/>
      <c r="AG37" s="246"/>
      <c r="AI37" s="141"/>
      <c r="AM37" s="143"/>
      <c r="AN37" s="143"/>
      <c r="AP37" s="143"/>
      <c r="AQ37" s="143"/>
      <c r="AS37" s="143"/>
      <c r="AT37" s="143"/>
    </row>
    <row r="38" spans="1:46" outlineLevel="1" x14ac:dyDescent="0.25">
      <c r="A38" s="263"/>
      <c r="B38" s="263"/>
      <c r="C38" s="24" t="s">
        <v>79</v>
      </c>
      <c r="D38" s="24">
        <v>1</v>
      </c>
      <c r="E38" s="677">
        <v>0</v>
      </c>
      <c r="F38" s="112">
        <f t="shared" si="4"/>
        <v>-0.38759999999999994</v>
      </c>
      <c r="G38" s="263"/>
      <c r="H38" s="684">
        <f t="shared" si="5"/>
        <v>0</v>
      </c>
      <c r="I38" s="684">
        <f>(D38*SUM('eC&amp;R-EMP Process Workings'!L$8,'eC&amp;R-EMP System Workings'!L$8))+($I22)</f>
        <v>33817.666666666672</v>
      </c>
      <c r="J38" s="676">
        <f t="shared" si="6"/>
        <v>33817.666666666672</v>
      </c>
      <c r="K38" s="684">
        <f>(D38*SUM('eC&amp;R-EMP Process Workings'!L$7,'eC&amp;R-EMP System Workings'!L$7))+($K22)</f>
        <v>218588.33333333337</v>
      </c>
      <c r="L38" s="263"/>
      <c r="M38" s="676">
        <f t="shared" si="7"/>
        <v>66393.774218479215</v>
      </c>
      <c r="N38" s="676">
        <f t="shared" si="7"/>
        <v>64148.574124134509</v>
      </c>
      <c r="O38" s="676">
        <f t="shared" si="7"/>
        <v>61979.298670661366</v>
      </c>
      <c r="P38" s="676">
        <f t="shared" si="7"/>
        <v>59883.380358126931</v>
      </c>
      <c r="Q38" s="676">
        <f t="shared" si="7"/>
        <v>57858.338510267567</v>
      </c>
      <c r="R38" s="676">
        <f t="shared" si="7"/>
        <v>55901.77633842278</v>
      </c>
      <c r="S38" s="676">
        <f t="shared" si="7"/>
        <v>54011.37810475631</v>
      </c>
      <c r="T38" s="676">
        <f t="shared" si="7"/>
        <v>52184.906381407061</v>
      </c>
      <c r="U38" s="676">
        <f t="shared" si="7"/>
        <v>50420.199402325678</v>
      </c>
      <c r="V38" s="676">
        <f t="shared" si="7"/>
        <v>48715.168504662499</v>
      </c>
      <c r="W38" s="677"/>
      <c r="X38" s="676">
        <f t="shared" si="8"/>
        <v>571496.7946132439</v>
      </c>
      <c r="Y38" s="263"/>
      <c r="Z38" s="684"/>
      <c r="AA38" s="143"/>
      <c r="AC38" s="143"/>
      <c r="AD38" s="143"/>
      <c r="AF38" s="246"/>
      <c r="AG38" s="246"/>
      <c r="AI38" s="141"/>
      <c r="AM38" s="143"/>
      <c r="AN38" s="143"/>
      <c r="AP38" s="143"/>
      <c r="AQ38" s="143"/>
      <c r="AS38" s="143"/>
      <c r="AT38" s="143"/>
    </row>
    <row r="39" spans="1:46" outlineLevel="1" x14ac:dyDescent="0.25">
      <c r="A39" s="263"/>
      <c r="B39" s="263"/>
      <c r="C39" s="24" t="s">
        <v>82</v>
      </c>
      <c r="D39" s="24">
        <f>Inputs_General!$G$12</f>
        <v>11</v>
      </c>
      <c r="E39" s="677">
        <f>Inputs_Switchers!$C$14</f>
        <v>0</v>
      </c>
      <c r="F39" s="112">
        <f t="shared" si="4"/>
        <v>-0.38759999999999994</v>
      </c>
      <c r="G39" s="263"/>
      <c r="H39" s="684">
        <f t="shared" si="5"/>
        <v>0</v>
      </c>
      <c r="I39" s="684">
        <f>(D39*SUM('eC&amp;R-EMP Process Workings'!M$8,'eC&amp;R-EMP System Workings'!M$8))+($I23)</f>
        <v>607304.69555555552</v>
      </c>
      <c r="J39" s="676">
        <f t="shared" si="6"/>
        <v>607304.69555555552</v>
      </c>
      <c r="K39" s="684">
        <f>(D39*SUM('eC&amp;R-EMP Process Workings'!M$7,'eC&amp;R-EMP System Workings'!M$7))+($K23)</f>
        <v>3374113.4777777777</v>
      </c>
      <c r="L39" s="263"/>
      <c r="M39" s="676">
        <f t="shared" si="7"/>
        <v>1110147.1019546883</v>
      </c>
      <c r="N39" s="676">
        <f t="shared" si="7"/>
        <v>1072605.8956083946</v>
      </c>
      <c r="O39" s="676">
        <f t="shared" si="7"/>
        <v>1036334.1986554537</v>
      </c>
      <c r="P39" s="676">
        <f t="shared" si="7"/>
        <v>1001289.0808265255</v>
      </c>
      <c r="Q39" s="676">
        <f t="shared" si="7"/>
        <v>967429.0636005078</v>
      </c>
      <c r="R39" s="676">
        <f t="shared" si="7"/>
        <v>934714.07111160178</v>
      </c>
      <c r="S39" s="676">
        <f t="shared" si="7"/>
        <v>903105.38271652348</v>
      </c>
      <c r="T39" s="676">
        <f t="shared" si="7"/>
        <v>872565.58716572321</v>
      </c>
      <c r="U39" s="676">
        <f t="shared" si="7"/>
        <v>843058.5383243704</v>
      </c>
      <c r="V39" s="676">
        <f t="shared" si="7"/>
        <v>814549.31239069614</v>
      </c>
      <c r="W39" s="676"/>
      <c r="X39" s="676">
        <f t="shared" si="8"/>
        <v>9555798.2323544845</v>
      </c>
      <c r="Y39" s="263"/>
      <c r="Z39" s="684"/>
      <c r="AA39" s="143"/>
      <c r="AC39" s="143"/>
      <c r="AD39" s="143"/>
      <c r="AF39" s="246"/>
      <c r="AG39" s="246"/>
      <c r="AI39" s="141"/>
      <c r="AM39" s="143"/>
      <c r="AN39" s="143"/>
      <c r="AP39" s="143"/>
      <c r="AQ39" s="143"/>
      <c r="AS39" s="143"/>
      <c r="AT39" s="143"/>
    </row>
    <row r="40" spans="1:46" ht="15.75" outlineLevel="1" thickBot="1" x14ac:dyDescent="0.3">
      <c r="A40" s="263"/>
      <c r="B40" s="263"/>
      <c r="C40" s="688"/>
      <c r="D40" s="688"/>
      <c r="E40" s="688"/>
      <c r="F40" s="688"/>
      <c r="G40" s="688"/>
      <c r="H40" s="688"/>
      <c r="I40" s="688"/>
      <c r="J40" s="688"/>
      <c r="K40" s="688"/>
      <c r="L40" s="688"/>
      <c r="M40" s="688"/>
      <c r="N40" s="688"/>
      <c r="O40" s="688"/>
      <c r="P40" s="688"/>
      <c r="Q40" s="688"/>
      <c r="R40" s="688"/>
      <c r="S40" s="688"/>
      <c r="T40" s="688"/>
      <c r="U40" s="688"/>
      <c r="V40" s="688"/>
      <c r="W40" s="688"/>
      <c r="X40" s="688"/>
      <c r="Y40" s="263"/>
      <c r="Z40" s="263"/>
      <c r="AC40" s="245"/>
      <c r="AD40" s="245"/>
      <c r="AF40" s="245"/>
      <c r="AG40" s="245"/>
    </row>
    <row r="41" spans="1:46" ht="15.75" thickTop="1" x14ac:dyDescent="0.25">
      <c r="A41" s="263"/>
      <c r="B41" s="263"/>
      <c r="C41" s="24" t="s">
        <v>44</v>
      </c>
      <c r="D41" s="263">
        <f>SUM(D33:D39)</f>
        <v>17</v>
      </c>
      <c r="E41" s="676">
        <f>Inputs_Switchers!$C$15</f>
        <v>883820.80200224102</v>
      </c>
      <c r="F41" s="491">
        <f>AVERAGE(F33:F39)</f>
        <v>-0.38759999999999994</v>
      </c>
      <c r="G41" s="263"/>
      <c r="H41" s="684">
        <f>SUM(H33:H39)</f>
        <v>0</v>
      </c>
      <c r="I41" s="676">
        <f>SUM(I33:I39)</f>
        <v>1102026.3622222221</v>
      </c>
      <c r="J41" s="676">
        <f>SUM(J33:J39)</f>
        <v>1102026.3622222221</v>
      </c>
      <c r="K41" s="676">
        <f>SUM(K33:K39)</f>
        <v>6212541.8111111112</v>
      </c>
      <c r="L41" s="263"/>
      <c r="M41" s="676">
        <f t="shared" ref="M41:V41" si="9">IF($I$7="Spackman",((($K41/Annuity_Factor)+$J41)/((1+Disc_Rate)^(M$14-1))),($J41/((1+Disc_Rate)^(M$14-1))))</f>
        <v>2027878.2918413135</v>
      </c>
      <c r="N41" s="676">
        <f t="shared" si="9"/>
        <v>1959302.6974312209</v>
      </c>
      <c r="O41" s="676">
        <f t="shared" si="9"/>
        <v>1893046.0844746097</v>
      </c>
      <c r="P41" s="676">
        <f t="shared" si="9"/>
        <v>1829030.0333088017</v>
      </c>
      <c r="Q41" s="676">
        <f t="shared" si="9"/>
        <v>1767178.77614377</v>
      </c>
      <c r="R41" s="676">
        <f t="shared" si="9"/>
        <v>1707419.1073852852</v>
      </c>
      <c r="S41" s="676">
        <f t="shared" si="9"/>
        <v>1649680.2969906137</v>
      </c>
      <c r="T41" s="676">
        <f t="shared" si="9"/>
        <v>1593894.0067542163</v>
      </c>
      <c r="U41" s="676">
        <f t="shared" si="9"/>
        <v>1539994.2094243637</v>
      </c>
      <c r="V41" s="676">
        <f t="shared" si="9"/>
        <v>1487917.110554941</v>
      </c>
      <c r="W41" s="676"/>
      <c r="X41" s="676">
        <f>IF($I$7="Spackman", (SUM(M41:V41)), ($K41+SUM(M41:V41)))</f>
        <v>17455340.614309136</v>
      </c>
      <c r="Y41" s="263"/>
      <c r="Z41" s="263"/>
    </row>
    <row r="42" spans="1:46" x14ac:dyDescent="0.25">
      <c r="A42" s="263"/>
      <c r="B42" s="263"/>
      <c r="C42" s="263"/>
      <c r="D42" s="263"/>
      <c r="E42" s="263"/>
      <c r="F42" s="263"/>
      <c r="G42" s="263"/>
      <c r="H42" s="263"/>
      <c r="I42" s="263"/>
      <c r="J42" s="263"/>
      <c r="K42" s="263"/>
      <c r="L42" s="263"/>
      <c r="M42" s="263"/>
      <c r="N42" s="263"/>
      <c r="O42" s="263"/>
      <c r="P42" s="263"/>
      <c r="Q42" s="263"/>
      <c r="R42" s="263"/>
      <c r="S42" s="263"/>
      <c r="T42" s="263"/>
      <c r="U42" s="263"/>
      <c r="V42" s="263"/>
      <c r="W42" s="263"/>
      <c r="X42" s="263"/>
      <c r="Y42" s="263"/>
      <c r="Z42" s="263"/>
    </row>
    <row r="43" spans="1:46" x14ac:dyDescent="0.25">
      <c r="A43" s="263"/>
      <c r="B43" s="263"/>
      <c r="C43" s="38" t="s">
        <v>179</v>
      </c>
      <c r="D43" s="38"/>
      <c r="E43" s="38"/>
      <c r="F43" s="38"/>
      <c r="G43" s="38"/>
      <c r="H43" s="38"/>
      <c r="I43" s="79"/>
      <c r="J43" s="79"/>
      <c r="K43" s="79"/>
      <c r="L43" s="79"/>
      <c r="M43" s="79"/>
      <c r="N43" s="38"/>
      <c r="O43" s="38"/>
      <c r="P43" s="38"/>
      <c r="Q43" s="38"/>
      <c r="R43" s="38"/>
      <c r="S43" s="38"/>
      <c r="T43" s="38"/>
      <c r="U43" s="38"/>
      <c r="V43" s="38"/>
      <c r="W43" s="38"/>
      <c r="X43" s="38"/>
      <c r="Y43" s="38"/>
      <c r="Z43" s="263"/>
    </row>
    <row r="44" spans="1:46" outlineLevel="1" x14ac:dyDescent="0.25">
      <c r="A44" s="263"/>
      <c r="B44" s="263"/>
      <c r="C44" s="263"/>
      <c r="D44" s="263"/>
      <c r="E44" s="263"/>
      <c r="F44" s="263"/>
      <c r="G44" s="263"/>
      <c r="H44" s="263"/>
      <c r="I44" s="263"/>
      <c r="J44" s="263"/>
      <c r="K44" s="263"/>
      <c r="L44" s="263"/>
      <c r="M44" s="263"/>
      <c r="N44" s="263"/>
      <c r="O44" s="263"/>
      <c r="P44" s="263"/>
      <c r="Q44" s="263"/>
      <c r="R44" s="263"/>
      <c r="S44" s="263"/>
      <c r="T44" s="263"/>
      <c r="U44" s="263"/>
      <c r="V44" s="263"/>
      <c r="W44" s="263"/>
      <c r="X44" s="263"/>
      <c r="Y44" s="263"/>
      <c r="Z44" s="263"/>
    </row>
    <row r="45" spans="1:46" outlineLevel="1" x14ac:dyDescent="0.25">
      <c r="A45" s="263"/>
      <c r="B45" s="263"/>
      <c r="C45" s="24" t="s">
        <v>59</v>
      </c>
      <c r="D45" s="24">
        <v>1</v>
      </c>
      <c r="E45" s="677">
        <f>Inputs_Switchers!C$10</f>
        <v>0</v>
      </c>
      <c r="F45" s="112">
        <f t="shared" ref="F45:F51" si="10">(eCR_DCC_SwitchCost)</f>
        <v>-0.38759999999999994</v>
      </c>
      <c r="G45" s="263"/>
      <c r="H45" s="684">
        <f t="shared" ref="H45:H51" si="11">E45*F45</f>
        <v>0</v>
      </c>
      <c r="I45" s="684">
        <f>(D45*SUM('eC&amp;R-DCC Process Workings'!G$8,'eC&amp;R-DCC System Workings'!G$8))+($I17)</f>
        <v>104763.91666666669</v>
      </c>
      <c r="J45" s="676">
        <f t="shared" ref="J45:J51" si="12">H45+I45</f>
        <v>104763.91666666669</v>
      </c>
      <c r="K45" s="684">
        <f>(D45*SUM('eC&amp;R-DCC Process Workings'!G$7,'eC&amp;R-DCC System Workings'!G$7))+($K17)</f>
        <v>633243.33333333337</v>
      </c>
      <c r="L45" s="676"/>
      <c r="M45" s="676">
        <f t="shared" ref="M45:V51" si="13">IF($I$7="Spackman",((($K45/Annuity_Factor)+$J45)/((1+Disc_Rate)^(M$14-1))),($J45/((1+Disc_Rate)^(M$14-1))))</f>
        <v>199135.84685416502</v>
      </c>
      <c r="N45" s="676">
        <f t="shared" si="13"/>
        <v>192401.78440015946</v>
      </c>
      <c r="O45" s="676">
        <f t="shared" si="13"/>
        <v>185895.44386488837</v>
      </c>
      <c r="P45" s="676">
        <f t="shared" si="13"/>
        <v>179609.12450713853</v>
      </c>
      <c r="Q45" s="676">
        <f t="shared" si="13"/>
        <v>173535.38599723531</v>
      </c>
      <c r="R45" s="676">
        <f t="shared" si="13"/>
        <v>167667.0396108554</v>
      </c>
      <c r="S45" s="676">
        <f t="shared" si="13"/>
        <v>161997.13972063322</v>
      </c>
      <c r="T45" s="676">
        <f t="shared" si="13"/>
        <v>156518.97557549106</v>
      </c>
      <c r="U45" s="676">
        <f t="shared" si="13"/>
        <v>151226.06335796241</v>
      </c>
      <c r="V45" s="676">
        <f t="shared" si="13"/>
        <v>146112.13851010863</v>
      </c>
      <c r="W45" s="676"/>
      <c r="X45" s="676">
        <f t="shared" ref="X45:X51" si="14">IF($I$7="Spackman", (SUM(M45:V45)), ($K45+SUM(M45:V45)))</f>
        <v>1714098.9423986373</v>
      </c>
      <c r="Y45" s="684"/>
      <c r="Z45" s="684"/>
      <c r="AA45" s="143"/>
      <c r="AC45" s="143"/>
      <c r="AD45" s="143"/>
      <c r="AM45" s="143"/>
      <c r="AN45" s="143"/>
      <c r="AP45" s="143"/>
      <c r="AQ45" s="143"/>
    </row>
    <row r="46" spans="1:46" outlineLevel="1" x14ac:dyDescent="0.25">
      <c r="A46" s="263"/>
      <c r="B46" s="263"/>
      <c r="C46" s="24" t="s">
        <v>56</v>
      </c>
      <c r="D46" s="24">
        <v>1</v>
      </c>
      <c r="E46" s="677">
        <f>Inputs_Switchers!C$11</f>
        <v>0</v>
      </c>
      <c r="F46" s="112">
        <f t="shared" si="10"/>
        <v>-0.38759999999999994</v>
      </c>
      <c r="G46" s="263"/>
      <c r="H46" s="684">
        <f t="shared" si="11"/>
        <v>0</v>
      </c>
      <c r="I46" s="684">
        <f>(D46*SUM('eC&amp;R-DCC Process Workings'!I$8,'eC&amp;R-DCC System Workings'!I$8))+($I18)</f>
        <v>104763.91666666669</v>
      </c>
      <c r="J46" s="676">
        <f t="shared" si="12"/>
        <v>104763.91666666669</v>
      </c>
      <c r="K46" s="684">
        <f>(D46*SUM('eC&amp;R-DCC Process Workings'!I$7,'eC&amp;R-DCC System Workings'!I$7))+($K18)</f>
        <v>633243.33333333337</v>
      </c>
      <c r="L46" s="263"/>
      <c r="M46" s="676">
        <f t="shared" si="13"/>
        <v>199135.84685416502</v>
      </c>
      <c r="N46" s="676">
        <f t="shared" si="13"/>
        <v>192401.78440015946</v>
      </c>
      <c r="O46" s="676">
        <f t="shared" si="13"/>
        <v>185895.44386488837</v>
      </c>
      <c r="P46" s="676">
        <f t="shared" si="13"/>
        <v>179609.12450713853</v>
      </c>
      <c r="Q46" s="676">
        <f t="shared" si="13"/>
        <v>173535.38599723531</v>
      </c>
      <c r="R46" s="676">
        <f t="shared" si="13"/>
        <v>167667.0396108554</v>
      </c>
      <c r="S46" s="676">
        <f t="shared" si="13"/>
        <v>161997.13972063322</v>
      </c>
      <c r="T46" s="676">
        <f t="shared" si="13"/>
        <v>156518.97557549106</v>
      </c>
      <c r="U46" s="676">
        <f t="shared" si="13"/>
        <v>151226.06335796241</v>
      </c>
      <c r="V46" s="676">
        <f t="shared" si="13"/>
        <v>146112.13851010863</v>
      </c>
      <c r="W46" s="676"/>
      <c r="X46" s="676">
        <f t="shared" si="14"/>
        <v>1714098.9423986373</v>
      </c>
      <c r="Y46" s="263"/>
      <c r="Z46" s="684"/>
      <c r="AA46" s="143"/>
      <c r="AC46" s="143"/>
      <c r="AD46" s="143"/>
      <c r="AM46" s="143"/>
      <c r="AN46" s="143"/>
      <c r="AP46" s="143"/>
      <c r="AQ46" s="143"/>
    </row>
    <row r="47" spans="1:46" outlineLevel="1" x14ac:dyDescent="0.25">
      <c r="A47" s="263"/>
      <c r="B47" s="263"/>
      <c r="C47" s="24" t="s">
        <v>63</v>
      </c>
      <c r="D47" s="24">
        <v>1</v>
      </c>
      <c r="E47" s="677">
        <f>Inputs_Switchers!C$12</f>
        <v>0</v>
      </c>
      <c r="F47" s="112">
        <f t="shared" si="10"/>
        <v>-0.38759999999999994</v>
      </c>
      <c r="G47" s="263"/>
      <c r="H47" s="684">
        <f t="shared" si="11"/>
        <v>0</v>
      </c>
      <c r="I47" s="684">
        <f>(D47*SUM('eC&amp;R-DCC Process Workings'!J$8,'eC&amp;R-DCC System Workings'!J$8))+($I19)</f>
        <v>104763.91666666669</v>
      </c>
      <c r="J47" s="676">
        <f t="shared" si="12"/>
        <v>104763.91666666669</v>
      </c>
      <c r="K47" s="684">
        <f>(D47*SUM('eC&amp;R-DCC Process Workings'!J$7,'eC&amp;R-DCC System Workings'!J$7))+($K19)</f>
        <v>633243.33333333337</v>
      </c>
      <c r="L47" s="263"/>
      <c r="M47" s="676">
        <f t="shared" si="13"/>
        <v>199135.84685416502</v>
      </c>
      <c r="N47" s="676">
        <f t="shared" si="13"/>
        <v>192401.78440015946</v>
      </c>
      <c r="O47" s="676">
        <f t="shared" si="13"/>
        <v>185895.44386488837</v>
      </c>
      <c r="P47" s="676">
        <f t="shared" si="13"/>
        <v>179609.12450713853</v>
      </c>
      <c r="Q47" s="676">
        <f t="shared" si="13"/>
        <v>173535.38599723531</v>
      </c>
      <c r="R47" s="676">
        <f t="shared" si="13"/>
        <v>167667.0396108554</v>
      </c>
      <c r="S47" s="676">
        <f t="shared" si="13"/>
        <v>161997.13972063322</v>
      </c>
      <c r="T47" s="676">
        <f t="shared" si="13"/>
        <v>156518.97557549106</v>
      </c>
      <c r="U47" s="676">
        <f t="shared" si="13"/>
        <v>151226.06335796241</v>
      </c>
      <c r="V47" s="676">
        <f t="shared" si="13"/>
        <v>146112.13851010863</v>
      </c>
      <c r="W47" s="676"/>
      <c r="X47" s="676">
        <f t="shared" si="14"/>
        <v>1714098.9423986373</v>
      </c>
      <c r="Y47" s="263"/>
      <c r="Z47" s="684"/>
      <c r="AA47" s="143"/>
      <c r="AC47" s="143"/>
      <c r="AD47" s="143"/>
      <c r="AM47" s="143"/>
      <c r="AN47" s="143"/>
      <c r="AP47" s="143"/>
      <c r="AQ47" s="143"/>
    </row>
    <row r="48" spans="1:46" outlineLevel="1" x14ac:dyDescent="0.25">
      <c r="A48" s="263"/>
      <c r="B48" s="263"/>
      <c r="C48" s="24" t="s">
        <v>62</v>
      </c>
      <c r="D48" s="24">
        <v>1</v>
      </c>
      <c r="E48" s="677">
        <f>Inputs_Switchers!C$13</f>
        <v>0</v>
      </c>
      <c r="F48" s="112">
        <f t="shared" si="10"/>
        <v>-0.38759999999999994</v>
      </c>
      <c r="G48" s="263"/>
      <c r="H48" s="684">
        <f t="shared" si="11"/>
        <v>0</v>
      </c>
      <c r="I48" s="684">
        <f>(D48*SUM('eC&amp;R-DCC Process Workings'!H$8,'eC&amp;R-DCC System Workings'!H$8))+($I20)</f>
        <v>110477.25000000001</v>
      </c>
      <c r="J48" s="676">
        <f t="shared" si="12"/>
        <v>110477.25000000001</v>
      </c>
      <c r="K48" s="684">
        <f>(D48*SUM('eC&amp;R-DCC Process Workings'!H$7,'eC&amp;R-DCC System Workings'!H$7))+($K20)</f>
        <v>711810</v>
      </c>
      <c r="L48" s="263"/>
      <c r="M48" s="676">
        <f t="shared" si="13"/>
        <v>216557.93034946523</v>
      </c>
      <c r="N48" s="676">
        <f t="shared" si="13"/>
        <v>209234.71531349298</v>
      </c>
      <c r="O48" s="676">
        <f t="shared" si="13"/>
        <v>202159.14523042802</v>
      </c>
      <c r="P48" s="676">
        <f t="shared" si="13"/>
        <v>195322.84563326382</v>
      </c>
      <c r="Q48" s="676">
        <f t="shared" si="13"/>
        <v>188717.72524953025</v>
      </c>
      <c r="R48" s="676">
        <f t="shared" si="13"/>
        <v>182335.96642466693</v>
      </c>
      <c r="S48" s="676">
        <f t="shared" si="13"/>
        <v>176170.01586924342</v>
      </c>
      <c r="T48" s="676">
        <f t="shared" si="13"/>
        <v>170212.57571907577</v>
      </c>
      <c r="U48" s="676">
        <f t="shared" si="13"/>
        <v>164456.59489765778</v>
      </c>
      <c r="V48" s="676">
        <f t="shared" si="13"/>
        <v>158895.26077068388</v>
      </c>
      <c r="W48" s="676"/>
      <c r="X48" s="676">
        <f t="shared" si="14"/>
        <v>1864062.7754575084</v>
      </c>
      <c r="Y48" s="263"/>
      <c r="Z48" s="684"/>
      <c r="AA48" s="143"/>
      <c r="AC48" s="143"/>
      <c r="AD48" s="143"/>
      <c r="AM48" s="143"/>
      <c r="AN48" s="143"/>
      <c r="AP48" s="143"/>
      <c r="AQ48" s="143"/>
    </row>
    <row r="49" spans="1:43" outlineLevel="1" x14ac:dyDescent="0.25">
      <c r="A49" s="263"/>
      <c r="B49" s="263"/>
      <c r="C49" s="24" t="s">
        <v>46</v>
      </c>
      <c r="D49" s="24">
        <v>1</v>
      </c>
      <c r="E49" s="677">
        <v>0</v>
      </c>
      <c r="F49" s="112">
        <f t="shared" si="10"/>
        <v>-0.38759999999999994</v>
      </c>
      <c r="G49" s="263"/>
      <c r="H49" s="684">
        <f t="shared" si="11"/>
        <v>0</v>
      </c>
      <c r="I49" s="684">
        <f>(D49*SUM('eC&amp;R-DCC Process Workings'!K$8,'eC&amp;R-DCC System Workings'!K$8))+($I21)</f>
        <v>0</v>
      </c>
      <c r="J49" s="677">
        <f t="shared" si="12"/>
        <v>0</v>
      </c>
      <c r="K49" s="684">
        <f>(D49*SUM('eC&amp;R-DCC Process Workings'!K$7,'eC&amp;R-DCC System Workings'!K$7))+($K21)</f>
        <v>0</v>
      </c>
      <c r="L49" s="263"/>
      <c r="M49" s="679">
        <f t="shared" si="13"/>
        <v>0</v>
      </c>
      <c r="N49" s="679">
        <f t="shared" si="13"/>
        <v>0</v>
      </c>
      <c r="O49" s="679">
        <f t="shared" si="13"/>
        <v>0</v>
      </c>
      <c r="P49" s="679">
        <f t="shared" si="13"/>
        <v>0</v>
      </c>
      <c r="Q49" s="679">
        <f t="shared" si="13"/>
        <v>0</v>
      </c>
      <c r="R49" s="679">
        <f t="shared" si="13"/>
        <v>0</v>
      </c>
      <c r="S49" s="679">
        <f t="shared" si="13"/>
        <v>0</v>
      </c>
      <c r="T49" s="679">
        <f t="shared" si="13"/>
        <v>0</v>
      </c>
      <c r="U49" s="679">
        <f t="shared" si="13"/>
        <v>0</v>
      </c>
      <c r="V49" s="679">
        <f t="shared" si="13"/>
        <v>0</v>
      </c>
      <c r="W49" s="679"/>
      <c r="X49" s="679">
        <f t="shared" si="14"/>
        <v>0</v>
      </c>
      <c r="Y49" s="263"/>
      <c r="Z49" s="684"/>
      <c r="AA49" s="143"/>
      <c r="AC49" s="143"/>
      <c r="AD49" s="143"/>
      <c r="AM49" s="143"/>
      <c r="AN49" s="143"/>
      <c r="AP49" s="143"/>
      <c r="AQ49" s="143"/>
    </row>
    <row r="50" spans="1:43" outlineLevel="1" x14ac:dyDescent="0.25">
      <c r="A50" s="263"/>
      <c r="B50" s="263"/>
      <c r="C50" s="24" t="s">
        <v>79</v>
      </c>
      <c r="D50" s="24">
        <v>1</v>
      </c>
      <c r="E50" s="677">
        <v>0</v>
      </c>
      <c r="F50" s="112">
        <f t="shared" si="10"/>
        <v>-0.38759999999999994</v>
      </c>
      <c r="G50" s="263"/>
      <c r="H50" s="684">
        <f t="shared" si="11"/>
        <v>0</v>
      </c>
      <c r="I50" s="684">
        <f>(D50*SUM('eC&amp;R-DCC Process Workings'!L$8,'eC&amp;R-DCC System Workings'!L$8))+($I22)</f>
        <v>0</v>
      </c>
      <c r="J50" s="679">
        <f t="shared" si="12"/>
        <v>0</v>
      </c>
      <c r="K50" s="684">
        <f>(D50*SUM('eC&amp;R-DCC Process Workings'!L$7,'eC&amp;R-DCC System Workings'!L$7))+($K22)</f>
        <v>0</v>
      </c>
      <c r="L50" s="263"/>
      <c r="M50" s="679">
        <f t="shared" si="13"/>
        <v>0</v>
      </c>
      <c r="N50" s="679">
        <f t="shared" si="13"/>
        <v>0</v>
      </c>
      <c r="O50" s="679">
        <f t="shared" si="13"/>
        <v>0</v>
      </c>
      <c r="P50" s="679">
        <f t="shared" si="13"/>
        <v>0</v>
      </c>
      <c r="Q50" s="679">
        <f t="shared" si="13"/>
        <v>0</v>
      </c>
      <c r="R50" s="679">
        <f t="shared" si="13"/>
        <v>0</v>
      </c>
      <c r="S50" s="679">
        <f t="shared" si="13"/>
        <v>0</v>
      </c>
      <c r="T50" s="679">
        <f t="shared" si="13"/>
        <v>0</v>
      </c>
      <c r="U50" s="679">
        <f t="shared" si="13"/>
        <v>0</v>
      </c>
      <c r="V50" s="679">
        <f t="shared" si="13"/>
        <v>0</v>
      </c>
      <c r="W50" s="679"/>
      <c r="X50" s="679">
        <f t="shared" si="14"/>
        <v>0</v>
      </c>
      <c r="Y50" s="263"/>
      <c r="Z50" s="684"/>
      <c r="AA50" s="143"/>
      <c r="AC50" s="143"/>
      <c r="AD50" s="143"/>
      <c r="AM50" s="143"/>
      <c r="AN50" s="143"/>
      <c r="AP50" s="143"/>
      <c r="AQ50" s="143"/>
    </row>
    <row r="51" spans="1:43" outlineLevel="1" x14ac:dyDescent="0.25">
      <c r="A51" s="263"/>
      <c r="B51" s="263"/>
      <c r="C51" s="24" t="s">
        <v>82</v>
      </c>
      <c r="D51" s="24">
        <f>Inputs_General!$G$12</f>
        <v>11</v>
      </c>
      <c r="E51" s="677">
        <f>Inputs_Switchers!$C$14</f>
        <v>0</v>
      </c>
      <c r="F51" s="112">
        <f t="shared" si="10"/>
        <v>-0.38759999999999994</v>
      </c>
      <c r="G51" s="263"/>
      <c r="H51" s="684">
        <f t="shared" si="11"/>
        <v>0</v>
      </c>
      <c r="I51" s="684">
        <f>(D51*SUM('eC&amp;R-DCC Process Workings'!M$8,'eC&amp;R-DCC System Workings'!M$8))+($I23)</f>
        <v>704479.82611111121</v>
      </c>
      <c r="J51" s="679">
        <f t="shared" si="12"/>
        <v>704479.82611111121</v>
      </c>
      <c r="K51" s="684">
        <f>(D51*SUM('eC&amp;R-DCC Process Workings'!M$7,'eC&amp;R-DCC System Workings'!M$7))+($K23)</f>
        <v>4124229.7555555562</v>
      </c>
      <c r="L51" s="263"/>
      <c r="M51" s="676">
        <f t="shared" si="13"/>
        <v>1319111.6778508197</v>
      </c>
      <c r="N51" s="676">
        <f t="shared" si="13"/>
        <v>1274504.0365708403</v>
      </c>
      <c r="O51" s="676">
        <f t="shared" si="13"/>
        <v>1231404.8662520198</v>
      </c>
      <c r="P51" s="676">
        <f t="shared" si="13"/>
        <v>1189763.1557990529</v>
      </c>
      <c r="Q51" s="676">
        <f t="shared" si="13"/>
        <v>1149529.6191295199</v>
      </c>
      <c r="R51" s="676">
        <f t="shared" si="13"/>
        <v>1110656.636840116</v>
      </c>
      <c r="S51" s="676">
        <f t="shared" si="13"/>
        <v>1073098.1998455226</v>
      </c>
      <c r="T51" s="676">
        <f t="shared" si="13"/>
        <v>1036809.8549232103</v>
      </c>
      <c r="U51" s="676">
        <f t="shared" si="13"/>
        <v>1001748.6520997203</v>
      </c>
      <c r="V51" s="676">
        <f t="shared" si="13"/>
        <v>967873.0938161551</v>
      </c>
      <c r="W51" s="676"/>
      <c r="X51" s="676">
        <f t="shared" si="14"/>
        <v>11354499.793126978</v>
      </c>
      <c r="Y51" s="263"/>
      <c r="Z51" s="684"/>
      <c r="AA51" s="143"/>
      <c r="AC51" s="143"/>
      <c r="AD51" s="143"/>
      <c r="AM51" s="143"/>
      <c r="AN51" s="143"/>
      <c r="AP51" s="143"/>
      <c r="AQ51" s="143"/>
    </row>
    <row r="52" spans="1:43" ht="15.75" outlineLevel="1" thickBot="1" x14ac:dyDescent="0.3">
      <c r="A52" s="263"/>
      <c r="B52" s="263"/>
      <c r="C52" s="688"/>
      <c r="D52" s="688"/>
      <c r="E52" s="688"/>
      <c r="F52" s="688"/>
      <c r="G52" s="688"/>
      <c r="H52" s="688"/>
      <c r="I52" s="688"/>
      <c r="J52" s="688"/>
      <c r="K52" s="688"/>
      <c r="L52" s="688"/>
      <c r="M52" s="688"/>
      <c r="N52" s="688"/>
      <c r="O52" s="688"/>
      <c r="P52" s="688"/>
      <c r="Q52" s="688"/>
      <c r="R52" s="688"/>
      <c r="S52" s="688"/>
      <c r="T52" s="688"/>
      <c r="U52" s="688"/>
      <c r="V52" s="688"/>
      <c r="W52" s="688"/>
      <c r="X52" s="688"/>
      <c r="Y52" s="263"/>
      <c r="Z52" s="263"/>
      <c r="AC52" s="245"/>
      <c r="AD52" s="245"/>
    </row>
    <row r="53" spans="1:43" ht="15.75" thickTop="1" x14ac:dyDescent="0.25">
      <c r="A53" s="263"/>
      <c r="B53" s="263"/>
      <c r="C53" s="24" t="s">
        <v>44</v>
      </c>
      <c r="D53" s="263">
        <f>SUM(D45:D51)</f>
        <v>17</v>
      </c>
      <c r="E53" s="676">
        <f>Inputs_Switchers!$C$15</f>
        <v>883820.80200224102</v>
      </c>
      <c r="F53" s="491">
        <f>AVERAGE(F45:F51)</f>
        <v>-0.38759999999999994</v>
      </c>
      <c r="G53" s="263"/>
      <c r="H53" s="684">
        <f>SUM(H45:H51)</f>
        <v>0</v>
      </c>
      <c r="I53" s="676">
        <f>SUM(I45:I51)</f>
        <v>1129248.8261111113</v>
      </c>
      <c r="J53" s="676">
        <f>SUM(J45:J51)</f>
        <v>1129248.8261111113</v>
      </c>
      <c r="K53" s="676">
        <f>SUM(K45:K51)</f>
        <v>6735769.7555555562</v>
      </c>
      <c r="L53" s="263"/>
      <c r="M53" s="676">
        <f t="shared" ref="M53:V53" si="15">IF($I$7="Spackman",((($K53/Annuity_Factor)+$J53)/((1+Disc_Rate)^(M$14-1))),($J53/((1+Disc_Rate)^(M$14-1))))</f>
        <v>2133077.1487627802</v>
      </c>
      <c r="N53" s="676">
        <f t="shared" si="15"/>
        <v>2060944.105084812</v>
      </c>
      <c r="O53" s="676">
        <f t="shared" si="15"/>
        <v>1991250.3430771132</v>
      </c>
      <c r="P53" s="676">
        <f t="shared" si="15"/>
        <v>1923913.3749537326</v>
      </c>
      <c r="Q53" s="676">
        <f t="shared" si="15"/>
        <v>1858853.5023707564</v>
      </c>
      <c r="R53" s="676">
        <f t="shared" si="15"/>
        <v>1795993.7220973494</v>
      </c>
      <c r="S53" s="676">
        <f t="shared" si="15"/>
        <v>1735259.6348766659</v>
      </c>
      <c r="T53" s="676">
        <f t="shared" si="15"/>
        <v>1676579.3573687596</v>
      </c>
      <c r="U53" s="676">
        <f t="shared" si="15"/>
        <v>1619883.4370712657</v>
      </c>
      <c r="V53" s="676">
        <f t="shared" si="15"/>
        <v>1565104.7701171651</v>
      </c>
      <c r="W53" s="676"/>
      <c r="X53" s="676">
        <f>IF($I$7="Spackman", (SUM(M53:V53)), ($K53+SUM(M53:V53)))</f>
        <v>18360859.395780399</v>
      </c>
      <c r="Y53" s="263"/>
      <c r="Z53" s="263"/>
    </row>
    <row r="54" spans="1:43" s="262" customFormat="1" x14ac:dyDescent="0.25">
      <c r="A54" s="263"/>
      <c r="B54" s="263"/>
      <c r="C54" s="24"/>
      <c r="D54" s="263"/>
      <c r="E54" s="676"/>
      <c r="F54" s="491"/>
      <c r="G54" s="263"/>
      <c r="H54" s="684"/>
      <c r="I54" s="676"/>
      <c r="J54" s="676"/>
      <c r="K54" s="676"/>
      <c r="L54" s="263"/>
      <c r="M54" s="676"/>
      <c r="N54" s="676"/>
      <c r="O54" s="676"/>
      <c r="P54" s="676"/>
      <c r="Q54" s="676"/>
      <c r="R54" s="676"/>
      <c r="S54" s="676"/>
      <c r="T54" s="676"/>
      <c r="U54" s="676"/>
      <c r="V54" s="676"/>
      <c r="W54" s="676"/>
      <c r="X54" s="676"/>
      <c r="Y54" s="263"/>
      <c r="Z54" s="263"/>
    </row>
    <row r="55" spans="1:43" x14ac:dyDescent="0.25">
      <c r="A55" s="263"/>
      <c r="B55" s="263"/>
      <c r="C55" s="38" t="s">
        <v>176</v>
      </c>
      <c r="D55" s="38"/>
      <c r="E55" s="38"/>
      <c r="F55" s="38"/>
      <c r="G55" s="38"/>
      <c r="H55" s="38"/>
      <c r="I55" s="79"/>
      <c r="J55" s="79"/>
      <c r="K55" s="79"/>
      <c r="L55" s="79"/>
      <c r="M55" s="79"/>
      <c r="N55" s="38"/>
      <c r="O55" s="38"/>
      <c r="P55" s="38"/>
      <c r="Q55" s="38"/>
      <c r="R55" s="38"/>
      <c r="S55" s="38"/>
      <c r="T55" s="38"/>
      <c r="U55" s="38"/>
      <c r="V55" s="38"/>
      <c r="W55" s="38"/>
      <c r="X55" s="38"/>
      <c r="Y55" s="38"/>
      <c r="Z55" s="263"/>
    </row>
    <row r="56" spans="1:43" outlineLevel="1" x14ac:dyDescent="0.25">
      <c r="A56" s="263"/>
      <c r="B56" s="263"/>
      <c r="C56" s="263"/>
      <c r="D56" s="263"/>
      <c r="E56" s="263"/>
      <c r="F56" s="112"/>
      <c r="G56" s="263"/>
      <c r="H56" s="263"/>
      <c r="I56" s="263"/>
      <c r="J56" s="263"/>
      <c r="K56" s="689"/>
      <c r="L56" s="157"/>
      <c r="M56" s="689"/>
      <c r="N56" s="689"/>
      <c r="O56" s="689"/>
      <c r="P56" s="689"/>
      <c r="Q56" s="689"/>
      <c r="R56" s="689"/>
      <c r="S56" s="689"/>
      <c r="T56" s="689"/>
      <c r="U56" s="689"/>
      <c r="V56" s="689"/>
      <c r="W56" s="263"/>
      <c r="X56" s="689"/>
      <c r="Y56" s="263"/>
      <c r="Z56" s="263"/>
    </row>
    <row r="57" spans="1:43" outlineLevel="1" x14ac:dyDescent="0.25">
      <c r="A57" s="263"/>
      <c r="B57" s="263"/>
      <c r="C57" s="24" t="s">
        <v>59</v>
      </c>
      <c r="D57" s="24">
        <v>1</v>
      </c>
      <c r="E57" s="677">
        <f>Inputs_Switchers!C$10</f>
        <v>0</v>
      </c>
      <c r="F57" s="112">
        <f t="shared" ref="F57:F63" si="16">(GPL_EMP_SwitchCost)</f>
        <v>-0.84335999999999978</v>
      </c>
      <c r="G57" s="263"/>
      <c r="H57" s="684">
        <f t="shared" ref="H57:H63" si="17">E57*F57</f>
        <v>0</v>
      </c>
      <c r="I57" s="684">
        <f>(D57*SUM('GPL-EMP Process Workings'!G$8,'GPL-EMP System Workings'!G$8))+($I17)</f>
        <v>89934.333333333343</v>
      </c>
      <c r="J57" s="676">
        <f t="shared" ref="J57:J63" si="18">H57+I57</f>
        <v>89934.333333333343</v>
      </c>
      <c r="K57" s="684">
        <f>(D57*SUM('GPL-EMP Process Workings'!G$7,'GPL-EMP System Workings'!G$7))+($K17)</f>
        <v>505771.66666666669</v>
      </c>
      <c r="L57" s="676"/>
      <c r="M57" s="676">
        <f t="shared" ref="M57:V63" si="19">IF($I$7="Spackman",((($K57/Annuity_Factor)+$J57)/((1+Disc_Rate)^(M$14-1))),($J57/((1+Disc_Rate)^(M$14-1))))</f>
        <v>165309.22621413431</v>
      </c>
      <c r="N57" s="676">
        <f t="shared" si="19"/>
        <v>159719.05914409112</v>
      </c>
      <c r="O57" s="676">
        <f t="shared" si="19"/>
        <v>154317.93154018468</v>
      </c>
      <c r="P57" s="676">
        <f t="shared" si="19"/>
        <v>149099.45076346348</v>
      </c>
      <c r="Q57" s="676">
        <f t="shared" si="19"/>
        <v>144057.44035117244</v>
      </c>
      <c r="R57" s="676">
        <f t="shared" si="19"/>
        <v>139185.93270644682</v>
      </c>
      <c r="S57" s="676">
        <f t="shared" si="19"/>
        <v>134479.16203521431</v>
      </c>
      <c r="T57" s="676">
        <f t="shared" si="19"/>
        <v>129931.5575219462</v>
      </c>
      <c r="U57" s="676">
        <f t="shared" si="19"/>
        <v>125537.73673617994</v>
      </c>
      <c r="V57" s="676">
        <f t="shared" si="19"/>
        <v>121292.49926200962</v>
      </c>
      <c r="W57" s="676"/>
      <c r="X57" s="676">
        <f t="shared" ref="X57:X63" si="20">IF($I$7="Spackman", (SUM(M57:V57)), ($K57+SUM(M57:V57)))</f>
        <v>1422929.9962748431</v>
      </c>
      <c r="Y57" s="263"/>
      <c r="Z57" s="263"/>
    </row>
    <row r="58" spans="1:43" outlineLevel="1" x14ac:dyDescent="0.25">
      <c r="A58" s="263"/>
      <c r="B58" s="263"/>
      <c r="C58" s="24" t="s">
        <v>56</v>
      </c>
      <c r="D58" s="24">
        <v>1</v>
      </c>
      <c r="E58" s="677">
        <f>Inputs_Switchers!C$11</f>
        <v>0</v>
      </c>
      <c r="F58" s="112">
        <f t="shared" si="16"/>
        <v>-0.84335999999999978</v>
      </c>
      <c r="G58" s="263"/>
      <c r="H58" s="684">
        <f t="shared" si="17"/>
        <v>0</v>
      </c>
      <c r="I58" s="684">
        <f>(D58*SUM('GPL-EMP Process Workings'!I$8,'GPL-EMP System Workings'!I$8))+($I18)</f>
        <v>89934.333333333343</v>
      </c>
      <c r="J58" s="676">
        <f t="shared" si="18"/>
        <v>89934.333333333343</v>
      </c>
      <c r="K58" s="684">
        <f>(D58*SUM('GPL-EMP Process Workings'!I$7,'GPL-EMP System Workings'!I$7))+($K18)</f>
        <v>505771.66666666669</v>
      </c>
      <c r="L58" s="263"/>
      <c r="M58" s="676">
        <f t="shared" si="19"/>
        <v>165309.22621413431</v>
      </c>
      <c r="N58" s="676">
        <f t="shared" si="19"/>
        <v>159719.05914409112</v>
      </c>
      <c r="O58" s="676">
        <f t="shared" si="19"/>
        <v>154317.93154018468</v>
      </c>
      <c r="P58" s="676">
        <f t="shared" si="19"/>
        <v>149099.45076346348</v>
      </c>
      <c r="Q58" s="676">
        <f t="shared" si="19"/>
        <v>144057.44035117244</v>
      </c>
      <c r="R58" s="676">
        <f t="shared" si="19"/>
        <v>139185.93270644682</v>
      </c>
      <c r="S58" s="676">
        <f t="shared" si="19"/>
        <v>134479.16203521431</v>
      </c>
      <c r="T58" s="676">
        <f t="shared" si="19"/>
        <v>129931.5575219462</v>
      </c>
      <c r="U58" s="676">
        <f t="shared" si="19"/>
        <v>125537.73673617994</v>
      </c>
      <c r="V58" s="676">
        <f t="shared" si="19"/>
        <v>121292.49926200962</v>
      </c>
      <c r="W58" s="676"/>
      <c r="X58" s="676">
        <f t="shared" si="20"/>
        <v>1422929.9962748431</v>
      </c>
      <c r="Y58" s="263"/>
      <c r="Z58" s="263"/>
    </row>
    <row r="59" spans="1:43" outlineLevel="1" x14ac:dyDescent="0.25">
      <c r="A59" s="263"/>
      <c r="B59" s="263"/>
      <c r="C59" s="24" t="s">
        <v>63</v>
      </c>
      <c r="D59" s="24">
        <v>1</v>
      </c>
      <c r="E59" s="677">
        <f>Inputs_Switchers!C$12</f>
        <v>0</v>
      </c>
      <c r="F59" s="112">
        <f t="shared" si="16"/>
        <v>-0.84335999999999978</v>
      </c>
      <c r="G59" s="263"/>
      <c r="H59" s="684">
        <f t="shared" si="17"/>
        <v>0</v>
      </c>
      <c r="I59" s="684">
        <f>(D59*SUM('GPL-EMP Process Workings'!J$8,'GPL-EMP System Workings'!J$8))+($I19)</f>
        <v>89934.333333333343</v>
      </c>
      <c r="J59" s="676">
        <f t="shared" si="18"/>
        <v>89934.333333333343</v>
      </c>
      <c r="K59" s="684">
        <f>(D59*SUM('GPL-EMP Process Workings'!J$7,'GPL-EMP System Workings'!J$7))+($K19)</f>
        <v>505771.66666666669</v>
      </c>
      <c r="L59" s="263"/>
      <c r="M59" s="676">
        <f t="shared" si="19"/>
        <v>165309.22621413431</v>
      </c>
      <c r="N59" s="676">
        <f t="shared" si="19"/>
        <v>159719.05914409112</v>
      </c>
      <c r="O59" s="676">
        <f t="shared" si="19"/>
        <v>154317.93154018468</v>
      </c>
      <c r="P59" s="676">
        <f t="shared" si="19"/>
        <v>149099.45076346348</v>
      </c>
      <c r="Q59" s="676">
        <f t="shared" si="19"/>
        <v>144057.44035117244</v>
      </c>
      <c r="R59" s="676">
        <f t="shared" si="19"/>
        <v>139185.93270644682</v>
      </c>
      <c r="S59" s="676">
        <f t="shared" si="19"/>
        <v>134479.16203521431</v>
      </c>
      <c r="T59" s="676">
        <f t="shared" si="19"/>
        <v>129931.5575219462</v>
      </c>
      <c r="U59" s="676">
        <f t="shared" si="19"/>
        <v>125537.73673617994</v>
      </c>
      <c r="V59" s="676">
        <f t="shared" si="19"/>
        <v>121292.49926200962</v>
      </c>
      <c r="W59" s="676"/>
      <c r="X59" s="676">
        <f t="shared" si="20"/>
        <v>1422929.9962748431</v>
      </c>
      <c r="Y59" s="263"/>
      <c r="Z59" s="263"/>
    </row>
    <row r="60" spans="1:43" outlineLevel="1" x14ac:dyDescent="0.25">
      <c r="A60" s="263"/>
      <c r="B60" s="263"/>
      <c r="C60" s="24" t="s">
        <v>62</v>
      </c>
      <c r="D60" s="24">
        <v>1</v>
      </c>
      <c r="E60" s="677">
        <f>Inputs_Switchers!C$13</f>
        <v>0</v>
      </c>
      <c r="F60" s="112">
        <f t="shared" si="16"/>
        <v>-0.84335999999999978</v>
      </c>
      <c r="G60" s="263"/>
      <c r="H60" s="684">
        <f t="shared" si="17"/>
        <v>0</v>
      </c>
      <c r="I60" s="684">
        <f>(D60*SUM('GPL-EMP Process Workings'!H$8,'GPL-EMP System Workings'!H$8))+($I20)</f>
        <v>107527.66666666667</v>
      </c>
      <c r="J60" s="676">
        <f t="shared" si="18"/>
        <v>107527.66666666667</v>
      </c>
      <c r="K60" s="684">
        <f>(D60*SUM('GPL-EMP Process Workings'!H$7,'GPL-EMP System Workings'!H$7))+($K20)</f>
        <v>663538.33333333337</v>
      </c>
      <c r="L60" s="263"/>
      <c r="M60" s="676">
        <f t="shared" si="19"/>
        <v>206414.44521424291</v>
      </c>
      <c r="N60" s="676">
        <f t="shared" si="19"/>
        <v>199434.24658380958</v>
      </c>
      <c r="O60" s="676">
        <f t="shared" si="19"/>
        <v>192690.09331769042</v>
      </c>
      <c r="P60" s="676">
        <f t="shared" si="19"/>
        <v>186174.00320549801</v>
      </c>
      <c r="Q60" s="676">
        <f t="shared" si="19"/>
        <v>179878.26396666476</v>
      </c>
      <c r="R60" s="676">
        <f t="shared" si="19"/>
        <v>173795.42412238143</v>
      </c>
      <c r="S60" s="676">
        <f t="shared" si="19"/>
        <v>167918.28417621393</v>
      </c>
      <c r="T60" s="676">
        <f t="shared" si="19"/>
        <v>162239.88809296035</v>
      </c>
      <c r="U60" s="676">
        <f t="shared" si="19"/>
        <v>156753.51506566218</v>
      </c>
      <c r="V60" s="676">
        <f t="shared" si="19"/>
        <v>151452.67156102631</v>
      </c>
      <c r="W60" s="676"/>
      <c r="X60" s="676">
        <f t="shared" si="20"/>
        <v>1776750.8353061497</v>
      </c>
      <c r="Y60" s="263"/>
      <c r="Z60" s="263"/>
    </row>
    <row r="61" spans="1:43" outlineLevel="1" x14ac:dyDescent="0.25">
      <c r="A61" s="263"/>
      <c r="B61" s="263"/>
      <c r="C61" s="24" t="s">
        <v>46</v>
      </c>
      <c r="D61" s="24">
        <v>1</v>
      </c>
      <c r="E61" s="677">
        <v>0</v>
      </c>
      <c r="F61" s="112">
        <f t="shared" si="16"/>
        <v>-0.84335999999999978</v>
      </c>
      <c r="G61" s="263"/>
      <c r="H61" s="684">
        <f t="shared" si="17"/>
        <v>0</v>
      </c>
      <c r="I61" s="684">
        <f>(D61*SUM('GPL-EMP Process Workings'!K$8,'GPL-EMP System Workings'!K$8))+($I21)</f>
        <v>43560.000000000015</v>
      </c>
      <c r="J61" s="676">
        <f t="shared" si="18"/>
        <v>43560.000000000015</v>
      </c>
      <c r="K61" s="684">
        <f>(D61*SUM('GPL-EMP Process Workings'!K$7,'GPL-EMP System Workings'!K$7))+($K21)</f>
        <v>217800.00000000006</v>
      </c>
      <c r="L61" s="263"/>
      <c r="M61" s="676">
        <f t="shared" si="19"/>
        <v>76018.622638223038</v>
      </c>
      <c r="N61" s="676">
        <f t="shared" si="19"/>
        <v>73447.944577993272</v>
      </c>
      <c r="O61" s="676">
        <f t="shared" si="19"/>
        <v>70964.19765989689</v>
      </c>
      <c r="P61" s="676">
        <f t="shared" si="19"/>
        <v>68564.442183475257</v>
      </c>
      <c r="Q61" s="676">
        <f t="shared" si="19"/>
        <v>66245.837858430212</v>
      </c>
      <c r="R61" s="676">
        <f t="shared" si="19"/>
        <v>64005.640442927746</v>
      </c>
      <c r="S61" s="676">
        <f t="shared" si="19"/>
        <v>61841.198495582365</v>
      </c>
      <c r="T61" s="676">
        <f t="shared" si="19"/>
        <v>59749.950237277648</v>
      </c>
      <c r="U61" s="676">
        <f t="shared" si="19"/>
        <v>57729.420519108855</v>
      </c>
      <c r="V61" s="676">
        <f t="shared" si="19"/>
        <v>55777.217892858804</v>
      </c>
      <c r="W61" s="677"/>
      <c r="X61" s="676">
        <f t="shared" si="20"/>
        <v>654344.47250577412</v>
      </c>
      <c r="Y61" s="263"/>
      <c r="Z61" s="263"/>
    </row>
    <row r="62" spans="1:43" outlineLevel="1" x14ac:dyDescent="0.25">
      <c r="A62" s="263"/>
      <c r="B62" s="263"/>
      <c r="C62" s="24" t="s">
        <v>79</v>
      </c>
      <c r="D62" s="24">
        <v>1</v>
      </c>
      <c r="E62" s="677">
        <v>0</v>
      </c>
      <c r="F62" s="112">
        <f t="shared" si="16"/>
        <v>-0.84335999999999978</v>
      </c>
      <c r="G62" s="263"/>
      <c r="H62" s="684">
        <f t="shared" si="17"/>
        <v>0</v>
      </c>
      <c r="I62" s="684">
        <f>(D62*SUM('GPL-EMP Process Workings'!L$8,'GPL-EMP System Workings'!L$8))+($I22)</f>
        <v>33289.666666666672</v>
      </c>
      <c r="J62" s="676">
        <f t="shared" si="18"/>
        <v>33289.666666666672</v>
      </c>
      <c r="K62" s="684">
        <f>(D62*SUM('GPL-EMP Process Workings'!L$7,'GPL-EMP System Workings'!L$7))+($K22)</f>
        <v>215948.33333333337</v>
      </c>
      <c r="L62" s="263"/>
      <c r="M62" s="676">
        <f t="shared" si="19"/>
        <v>65472.336368318938</v>
      </c>
      <c r="N62" s="676">
        <f t="shared" si="19"/>
        <v>63258.296008037629</v>
      </c>
      <c r="O62" s="676">
        <f t="shared" si="19"/>
        <v>61119.126577814131</v>
      </c>
      <c r="P62" s="676">
        <f t="shared" si="19"/>
        <v>59052.296210448447</v>
      </c>
      <c r="Q62" s="676">
        <f t="shared" si="19"/>
        <v>57055.358657438112</v>
      </c>
      <c r="R62" s="676">
        <f t="shared" si="19"/>
        <v>55125.950393660023</v>
      </c>
      <c r="S62" s="676">
        <f t="shared" si="19"/>
        <v>53261.78781996137</v>
      </c>
      <c r="T62" s="676">
        <f t="shared" si="19"/>
        <v>51460.664560349156</v>
      </c>
      <c r="U62" s="676">
        <f t="shared" si="19"/>
        <v>49720.448850578905</v>
      </c>
      <c r="V62" s="676">
        <f t="shared" si="19"/>
        <v>48039.081015052085</v>
      </c>
      <c r="W62" s="677"/>
      <c r="X62" s="676">
        <f t="shared" si="20"/>
        <v>563565.34646165883</v>
      </c>
      <c r="Y62" s="263"/>
      <c r="Z62" s="263"/>
    </row>
    <row r="63" spans="1:43" outlineLevel="1" x14ac:dyDescent="0.25">
      <c r="A63" s="263"/>
      <c r="B63" s="263"/>
      <c r="C63" s="24" t="s">
        <v>82</v>
      </c>
      <c r="D63" s="24">
        <f>Inputs_General!$G$12</f>
        <v>11</v>
      </c>
      <c r="E63" s="677">
        <f>Inputs_Switchers!$C$14</f>
        <v>0</v>
      </c>
      <c r="F63" s="112">
        <f t="shared" si="16"/>
        <v>-0.84335999999999978</v>
      </c>
      <c r="G63" s="263"/>
      <c r="H63" s="684">
        <f t="shared" si="17"/>
        <v>0</v>
      </c>
      <c r="I63" s="684">
        <f>(D63*SUM('GPL-EMP Process Workings'!M$8,'GPL-EMP System Workings'!M$8))+($I23)</f>
        <v>527217.36222222226</v>
      </c>
      <c r="J63" s="676">
        <f t="shared" si="18"/>
        <v>527217.36222222226</v>
      </c>
      <c r="K63" s="684">
        <f>(D63*SUM('GPL-EMP Process Workings'!M$7,'GPL-EMP System Workings'!M$7))+($K23)</f>
        <v>2944636.8111111112</v>
      </c>
      <c r="L63" s="263"/>
      <c r="M63" s="676">
        <f t="shared" si="19"/>
        <v>966055.08058069763</v>
      </c>
      <c r="N63" s="676">
        <f t="shared" si="19"/>
        <v>933386.55128569831</v>
      </c>
      <c r="O63" s="676">
        <f t="shared" si="19"/>
        <v>901822.75486540899</v>
      </c>
      <c r="P63" s="676">
        <f t="shared" si="19"/>
        <v>871326.33320329385</v>
      </c>
      <c r="Q63" s="676">
        <f t="shared" si="19"/>
        <v>841861.19150076702</v>
      </c>
      <c r="R63" s="676">
        <f t="shared" si="19"/>
        <v>813392.45555629674</v>
      </c>
      <c r="S63" s="676">
        <f t="shared" si="19"/>
        <v>785886.4304891756</v>
      </c>
      <c r="T63" s="676">
        <f t="shared" si="19"/>
        <v>759310.56085910683</v>
      </c>
      <c r="U63" s="676">
        <f t="shared" si="19"/>
        <v>733633.39213440288</v>
      </c>
      <c r="V63" s="676">
        <f t="shared" si="19"/>
        <v>708824.53346319136</v>
      </c>
      <c r="W63" s="676"/>
      <c r="X63" s="676">
        <f t="shared" si="20"/>
        <v>8315499.2839380391</v>
      </c>
      <c r="Y63" s="263"/>
      <c r="Z63" s="263"/>
    </row>
    <row r="64" spans="1:43" ht="15.75" outlineLevel="1" thickBot="1" x14ac:dyDescent="0.3">
      <c r="A64" s="263"/>
      <c r="B64" s="263"/>
      <c r="C64" s="688"/>
      <c r="D64" s="688"/>
      <c r="E64" s="688"/>
      <c r="F64" s="688"/>
      <c r="G64" s="688"/>
      <c r="H64" s="688"/>
      <c r="I64" s="688"/>
      <c r="J64" s="688"/>
      <c r="K64" s="688"/>
      <c r="L64" s="688"/>
      <c r="M64" s="688"/>
      <c r="N64" s="688"/>
      <c r="O64" s="688"/>
      <c r="P64" s="688"/>
      <c r="Q64" s="688"/>
      <c r="R64" s="688"/>
      <c r="S64" s="688"/>
      <c r="T64" s="688"/>
      <c r="U64" s="688"/>
      <c r="V64" s="688"/>
      <c r="W64" s="688"/>
      <c r="X64" s="688"/>
      <c r="Y64" s="263"/>
      <c r="Z64" s="263"/>
    </row>
    <row r="65" spans="1:29" ht="15.75" thickTop="1" x14ac:dyDescent="0.25">
      <c r="A65" s="263"/>
      <c r="B65" s="263"/>
      <c r="C65" s="24" t="s">
        <v>44</v>
      </c>
      <c r="D65" s="263">
        <f>SUM(D57:D63)</f>
        <v>17</v>
      </c>
      <c r="E65" s="676">
        <f>Inputs_Switchers!$C$15</f>
        <v>883820.80200224102</v>
      </c>
      <c r="F65" s="491">
        <f>AVERAGE(F57:F63)</f>
        <v>-0.84335999999999978</v>
      </c>
      <c r="G65" s="263"/>
      <c r="H65" s="684">
        <f>SUM(H57:H63)</f>
        <v>0</v>
      </c>
      <c r="I65" s="676">
        <f>SUM(I57:I63)</f>
        <v>981397.69555555563</v>
      </c>
      <c r="J65" s="676">
        <f>SUM(J57:J63)</f>
        <v>981397.69555555563</v>
      </c>
      <c r="K65" s="676">
        <f>SUM(K57:K63)</f>
        <v>5559238.4777777782</v>
      </c>
      <c r="L65" s="263"/>
      <c r="M65" s="676">
        <f t="shared" ref="M65:V65" si="21">IF($I$7="Spackman",((($K65/Annuity_Factor)+$J65)/((1+Disc_Rate)^(M$14-1))),($J65/((1+Disc_Rate)^(M$14-1))))</f>
        <v>1809888.1634438853</v>
      </c>
      <c r="N65" s="676">
        <f t="shared" si="21"/>
        <v>1748684.215887812</v>
      </c>
      <c r="O65" s="676">
        <f t="shared" si="21"/>
        <v>1689549.9670413644</v>
      </c>
      <c r="P65" s="676">
        <f t="shared" si="21"/>
        <v>1632415.4270931059</v>
      </c>
      <c r="Q65" s="676">
        <f t="shared" si="21"/>
        <v>1577212.9730368173</v>
      </c>
      <c r="R65" s="676">
        <f t="shared" si="21"/>
        <v>1523877.2686346064</v>
      </c>
      <c r="S65" s="676">
        <f t="shared" si="21"/>
        <v>1472345.1870865761</v>
      </c>
      <c r="T65" s="676">
        <f t="shared" si="21"/>
        <v>1422555.7363155326</v>
      </c>
      <c r="U65" s="676">
        <f t="shared" si="21"/>
        <v>1374449.9867782926</v>
      </c>
      <c r="V65" s="676">
        <f t="shared" si="21"/>
        <v>1327971.0017181572</v>
      </c>
      <c r="W65" s="676"/>
      <c r="X65" s="676">
        <f>IF($I$7="Spackman", (SUM(M65:V65)), ($K65+SUM(M65:V65)))</f>
        <v>15578949.927036149</v>
      </c>
      <c r="Y65" s="263"/>
      <c r="Z65" s="263"/>
    </row>
    <row r="66" spans="1:29" x14ac:dyDescent="0.25">
      <c r="A66" s="263"/>
      <c r="B66" s="263"/>
      <c r="C66" s="263"/>
      <c r="D66" s="263"/>
      <c r="E66" s="263"/>
      <c r="F66" s="263"/>
      <c r="G66" s="263"/>
      <c r="H66" s="263"/>
      <c r="I66" s="263"/>
      <c r="J66" s="263"/>
      <c r="K66" s="263"/>
      <c r="L66" s="263"/>
      <c r="M66" s="263"/>
      <c r="N66" s="263"/>
      <c r="O66" s="263"/>
      <c r="P66" s="263"/>
      <c r="Q66" s="263"/>
      <c r="R66" s="263"/>
      <c r="S66" s="263"/>
      <c r="T66" s="263"/>
      <c r="U66" s="263"/>
      <c r="V66" s="263"/>
      <c r="W66" s="263"/>
      <c r="X66" s="263"/>
      <c r="Y66" s="263"/>
      <c r="Z66" s="263"/>
    </row>
    <row r="67" spans="1:29" x14ac:dyDescent="0.25">
      <c r="A67" s="263"/>
      <c r="B67" s="263"/>
      <c r="C67" s="38" t="s">
        <v>177</v>
      </c>
      <c r="D67" s="38"/>
      <c r="E67" s="38"/>
      <c r="F67" s="38"/>
      <c r="G67" s="38"/>
      <c r="H67" s="38"/>
      <c r="I67" s="79"/>
      <c r="J67" s="79"/>
      <c r="K67" s="79"/>
      <c r="L67" s="79"/>
      <c r="M67" s="79"/>
      <c r="N67" s="38"/>
      <c r="O67" s="38"/>
      <c r="P67" s="38"/>
      <c r="Q67" s="38"/>
      <c r="R67" s="38"/>
      <c r="S67" s="38"/>
      <c r="T67" s="38"/>
      <c r="U67" s="38"/>
      <c r="V67" s="38"/>
      <c r="W67" s="38"/>
      <c r="X67" s="38"/>
      <c r="Y67" s="38"/>
      <c r="Z67" s="263"/>
    </row>
    <row r="68" spans="1:29" outlineLevel="1" x14ac:dyDescent="0.25">
      <c r="A68" s="263"/>
      <c r="B68" s="263"/>
      <c r="C68" s="263"/>
      <c r="D68" s="263"/>
      <c r="E68" s="263"/>
      <c r="F68" s="263"/>
      <c r="G68" s="263"/>
      <c r="H68" s="263"/>
      <c r="I68" s="263"/>
      <c r="J68" s="263"/>
      <c r="K68" s="263"/>
      <c r="L68" s="263"/>
      <c r="M68" s="263"/>
      <c r="N68" s="263"/>
      <c r="O68" s="263"/>
      <c r="P68" s="263"/>
      <c r="Q68" s="263"/>
      <c r="R68" s="263"/>
      <c r="S68" s="263"/>
      <c r="T68" s="263"/>
      <c r="U68" s="263"/>
      <c r="V68" s="263"/>
      <c r="W68" s="263"/>
      <c r="X68" s="263"/>
      <c r="Y68" s="263"/>
      <c r="Z68" s="263"/>
    </row>
    <row r="69" spans="1:29" outlineLevel="1" x14ac:dyDescent="0.25">
      <c r="A69" s="263"/>
      <c r="B69" s="263"/>
      <c r="C69" s="24" t="s">
        <v>59</v>
      </c>
      <c r="D69" s="24">
        <v>1</v>
      </c>
      <c r="E69" s="677">
        <f>Inputs_Switchers!C$10</f>
        <v>0</v>
      </c>
      <c r="F69" s="112">
        <f t="shared" ref="F69:F75" si="22">(GPL_DCC_SwitchCost)</f>
        <v>-0.84335999999999978</v>
      </c>
      <c r="G69" s="263"/>
      <c r="H69" s="684">
        <f t="shared" ref="H69:H75" si="23">E69*F69</f>
        <v>0</v>
      </c>
      <c r="I69" s="684">
        <f>(D69*SUM('GPL-DCC Process Workings'!G$8,'GPL-DCC System Workings'!G$8))+($I17)</f>
        <v>94760.583333333343</v>
      </c>
      <c r="J69" s="676">
        <f t="shared" ref="J69:J75" si="24">H69+I69</f>
        <v>94760.583333333343</v>
      </c>
      <c r="K69" s="684">
        <f>(D69*SUM('GPL-DCC Process Workings'!G$7,'GPL-DCC System Workings'!G$7))+($K17)</f>
        <v>577946.66666666674</v>
      </c>
      <c r="L69" s="676"/>
      <c r="M69" s="676">
        <f t="shared" ref="M69:V75" si="25">IF($I$7="Spackman",((($K69/Annuity_Factor)+$J69)/((1+Disc_Rate)^(M$14-1))),($J69/((1+Disc_Rate)^(M$14-1))))</f>
        <v>180891.67956084572</v>
      </c>
      <c r="N69" s="676">
        <f t="shared" si="25"/>
        <v>174774.56962400553</v>
      </c>
      <c r="O69" s="676">
        <f t="shared" si="25"/>
        <v>168864.31847730005</v>
      </c>
      <c r="P69" s="676">
        <f t="shared" si="25"/>
        <v>163153.93089594209</v>
      </c>
      <c r="Q69" s="676">
        <f t="shared" si="25"/>
        <v>157636.6482086397</v>
      </c>
      <c r="R69" s="676">
        <f t="shared" si="25"/>
        <v>152305.94029820265</v>
      </c>
      <c r="S69" s="676">
        <f t="shared" si="25"/>
        <v>147155.49787265956</v>
      </c>
      <c r="T69" s="676">
        <f t="shared" si="25"/>
        <v>142179.2249977387</v>
      </c>
      <c r="U69" s="676">
        <f t="shared" si="25"/>
        <v>137371.23188187316</v>
      </c>
      <c r="V69" s="676">
        <f t="shared" si="25"/>
        <v>132725.82790519149</v>
      </c>
      <c r="W69" s="676"/>
      <c r="X69" s="676">
        <f t="shared" ref="X69:X75" si="26">IF($I$7="Spackman", (SUM(M69:V69)), ($K69+SUM(M69:V69)))</f>
        <v>1557058.8697223987</v>
      </c>
      <c r="Y69" s="263"/>
      <c r="Z69" s="263"/>
    </row>
    <row r="70" spans="1:29" outlineLevel="1" x14ac:dyDescent="0.25">
      <c r="A70" s="263"/>
      <c r="B70" s="263"/>
      <c r="C70" s="24" t="s">
        <v>56</v>
      </c>
      <c r="D70" s="24">
        <v>1</v>
      </c>
      <c r="E70" s="677">
        <f>Inputs_Switchers!C$11</f>
        <v>0</v>
      </c>
      <c r="F70" s="112">
        <f t="shared" si="22"/>
        <v>-0.84335999999999978</v>
      </c>
      <c r="G70" s="263"/>
      <c r="H70" s="684">
        <f t="shared" si="23"/>
        <v>0</v>
      </c>
      <c r="I70" s="684">
        <f>(D70*SUM('GPL-DCC Process Workings'!I$8,'GPL-DCC System Workings'!I$8))+($I18)</f>
        <v>94760.583333333343</v>
      </c>
      <c r="J70" s="676">
        <f t="shared" si="24"/>
        <v>94760.583333333343</v>
      </c>
      <c r="K70" s="684">
        <f>(D70*SUM('GPL-DCC Process Workings'!I$7,'GPL-DCC System Workings'!I$7))+($K18)</f>
        <v>577946.66666666674</v>
      </c>
      <c r="L70" s="263"/>
      <c r="M70" s="676">
        <f t="shared" si="25"/>
        <v>180891.67956084572</v>
      </c>
      <c r="N70" s="676">
        <f t="shared" si="25"/>
        <v>174774.56962400553</v>
      </c>
      <c r="O70" s="676">
        <f t="shared" si="25"/>
        <v>168864.31847730005</v>
      </c>
      <c r="P70" s="676">
        <f t="shared" si="25"/>
        <v>163153.93089594209</v>
      </c>
      <c r="Q70" s="676">
        <f t="shared" si="25"/>
        <v>157636.6482086397</v>
      </c>
      <c r="R70" s="676">
        <f t="shared" si="25"/>
        <v>152305.94029820265</v>
      </c>
      <c r="S70" s="676">
        <f t="shared" si="25"/>
        <v>147155.49787265956</v>
      </c>
      <c r="T70" s="676">
        <f t="shared" si="25"/>
        <v>142179.2249977387</v>
      </c>
      <c r="U70" s="676">
        <f t="shared" si="25"/>
        <v>137371.23188187316</v>
      </c>
      <c r="V70" s="676">
        <f t="shared" si="25"/>
        <v>132725.82790519149</v>
      </c>
      <c r="W70" s="676"/>
      <c r="X70" s="676">
        <f t="shared" si="26"/>
        <v>1557058.8697223987</v>
      </c>
      <c r="Y70" s="263"/>
      <c r="Z70" s="263"/>
      <c r="AC70" s="140"/>
    </row>
    <row r="71" spans="1:29" outlineLevel="1" x14ac:dyDescent="0.25">
      <c r="A71" s="263"/>
      <c r="B71" s="263"/>
      <c r="C71" s="24" t="s">
        <v>63</v>
      </c>
      <c r="D71" s="24">
        <v>1</v>
      </c>
      <c r="E71" s="677">
        <f>Inputs_Switchers!C$12</f>
        <v>0</v>
      </c>
      <c r="F71" s="112">
        <f t="shared" si="22"/>
        <v>-0.84335999999999978</v>
      </c>
      <c r="G71" s="263"/>
      <c r="H71" s="684">
        <f t="shared" si="23"/>
        <v>0</v>
      </c>
      <c r="I71" s="684">
        <f>(D71*SUM('GPL-DCC Process Workings'!J$8,'GPL-DCC System Workings'!J$8))+($I19)</f>
        <v>94760.583333333343</v>
      </c>
      <c r="J71" s="676">
        <f t="shared" si="24"/>
        <v>94760.583333333343</v>
      </c>
      <c r="K71" s="684">
        <f>(D71*SUM('GPL-DCC Process Workings'!J$7,'GPL-DCC System Workings'!J$7))+($K19)</f>
        <v>577946.66666666674</v>
      </c>
      <c r="L71" s="263"/>
      <c r="M71" s="676">
        <f t="shared" si="25"/>
        <v>180891.67956084572</v>
      </c>
      <c r="N71" s="676">
        <f t="shared" si="25"/>
        <v>174774.56962400553</v>
      </c>
      <c r="O71" s="676">
        <f t="shared" si="25"/>
        <v>168864.31847730005</v>
      </c>
      <c r="P71" s="676">
        <f t="shared" si="25"/>
        <v>163153.93089594209</v>
      </c>
      <c r="Q71" s="676">
        <f t="shared" si="25"/>
        <v>157636.6482086397</v>
      </c>
      <c r="R71" s="676">
        <f t="shared" si="25"/>
        <v>152305.94029820265</v>
      </c>
      <c r="S71" s="676">
        <f t="shared" si="25"/>
        <v>147155.49787265956</v>
      </c>
      <c r="T71" s="676">
        <f t="shared" si="25"/>
        <v>142179.2249977387</v>
      </c>
      <c r="U71" s="676">
        <f t="shared" si="25"/>
        <v>137371.23188187316</v>
      </c>
      <c r="V71" s="676">
        <f t="shared" si="25"/>
        <v>132725.82790519149</v>
      </c>
      <c r="W71" s="676"/>
      <c r="X71" s="676">
        <f t="shared" si="26"/>
        <v>1557058.8697223987</v>
      </c>
      <c r="Y71" s="263"/>
      <c r="Z71" s="263"/>
      <c r="AC71" s="140"/>
    </row>
    <row r="72" spans="1:29" outlineLevel="1" x14ac:dyDescent="0.25">
      <c r="A72" s="263"/>
      <c r="B72" s="263"/>
      <c r="C72" s="24" t="s">
        <v>62</v>
      </c>
      <c r="D72" s="24">
        <v>1</v>
      </c>
      <c r="E72" s="677">
        <f>Inputs_Switchers!C$13</f>
        <v>0</v>
      </c>
      <c r="F72" s="112">
        <f t="shared" si="22"/>
        <v>-0.84335999999999978</v>
      </c>
      <c r="G72" s="263"/>
      <c r="H72" s="684">
        <f t="shared" si="23"/>
        <v>0</v>
      </c>
      <c r="I72" s="684">
        <f>(D72*SUM('GPL-DCC Process Workings'!H$8,'GPL-DCC System Workings'!H$8))+($I20)</f>
        <v>100473.91666666669</v>
      </c>
      <c r="J72" s="676">
        <f t="shared" si="24"/>
        <v>100473.91666666669</v>
      </c>
      <c r="K72" s="684">
        <f>(D72*SUM('GPL-DCC Process Workings'!H$7,'GPL-DCC System Workings'!H$7))+($K20)</f>
        <v>656513.33333333337</v>
      </c>
      <c r="L72" s="263"/>
      <c r="M72" s="676">
        <f t="shared" si="25"/>
        <v>198313.76305614595</v>
      </c>
      <c r="N72" s="676">
        <f t="shared" si="25"/>
        <v>191607.5005373391</v>
      </c>
      <c r="O72" s="676">
        <f t="shared" si="25"/>
        <v>185128.01984283971</v>
      </c>
      <c r="P72" s="676">
        <f t="shared" si="25"/>
        <v>178867.65202206737</v>
      </c>
      <c r="Q72" s="676">
        <f t="shared" si="25"/>
        <v>172818.98746093467</v>
      </c>
      <c r="R72" s="676">
        <f t="shared" si="25"/>
        <v>166974.86711201421</v>
      </c>
      <c r="S72" s="676">
        <f t="shared" si="25"/>
        <v>161328.37402126976</v>
      </c>
      <c r="T72" s="676">
        <f t="shared" si="25"/>
        <v>155872.82514132344</v>
      </c>
      <c r="U72" s="676">
        <f t="shared" si="25"/>
        <v>150601.76342156858</v>
      </c>
      <c r="V72" s="676">
        <f t="shared" si="25"/>
        <v>145508.95016576676</v>
      </c>
      <c r="W72" s="676"/>
      <c r="X72" s="676">
        <f t="shared" si="26"/>
        <v>1707022.7027812696</v>
      </c>
      <c r="Y72" s="263"/>
      <c r="Z72" s="263"/>
    </row>
    <row r="73" spans="1:29" outlineLevel="1" x14ac:dyDescent="0.25">
      <c r="A73" s="263"/>
      <c r="B73" s="263"/>
      <c r="C73" s="24" t="s">
        <v>46</v>
      </c>
      <c r="D73" s="24">
        <v>1</v>
      </c>
      <c r="E73" s="677">
        <v>0</v>
      </c>
      <c r="F73" s="112">
        <f t="shared" si="22"/>
        <v>-0.84335999999999978</v>
      </c>
      <c r="G73" s="263"/>
      <c r="H73" s="684">
        <f t="shared" si="23"/>
        <v>0</v>
      </c>
      <c r="I73" s="684">
        <f>(D73*SUM('GPL-DCC Process Workings'!K$8,'GPL-DCC System Workings'!K$8))+($I21)</f>
        <v>0</v>
      </c>
      <c r="J73" s="679">
        <f t="shared" si="24"/>
        <v>0</v>
      </c>
      <c r="K73" s="679">
        <f>(D73*SUM('GPL-DCC Process Workings'!K$7,'GPL-DCC System Workings'!K$7))+($K21)</f>
        <v>0</v>
      </c>
      <c r="L73" s="679"/>
      <c r="M73" s="679">
        <f t="shared" si="25"/>
        <v>0</v>
      </c>
      <c r="N73" s="679">
        <f t="shared" si="25"/>
        <v>0</v>
      </c>
      <c r="O73" s="679">
        <f t="shared" si="25"/>
        <v>0</v>
      </c>
      <c r="P73" s="679">
        <f t="shared" si="25"/>
        <v>0</v>
      </c>
      <c r="Q73" s="679">
        <f t="shared" si="25"/>
        <v>0</v>
      </c>
      <c r="R73" s="679">
        <f t="shared" si="25"/>
        <v>0</v>
      </c>
      <c r="S73" s="679">
        <f t="shared" si="25"/>
        <v>0</v>
      </c>
      <c r="T73" s="679">
        <f t="shared" si="25"/>
        <v>0</v>
      </c>
      <c r="U73" s="679">
        <f t="shared" si="25"/>
        <v>0</v>
      </c>
      <c r="V73" s="679">
        <f t="shared" si="25"/>
        <v>0</v>
      </c>
      <c r="W73" s="679"/>
      <c r="X73" s="679">
        <f t="shared" si="26"/>
        <v>0</v>
      </c>
      <c r="Y73" s="263"/>
      <c r="Z73" s="263"/>
      <c r="AC73" s="140"/>
    </row>
    <row r="74" spans="1:29" outlineLevel="1" x14ac:dyDescent="0.25">
      <c r="A74" s="263"/>
      <c r="B74" s="263"/>
      <c r="C74" s="24" t="s">
        <v>79</v>
      </c>
      <c r="D74" s="24">
        <v>1</v>
      </c>
      <c r="E74" s="677">
        <v>0</v>
      </c>
      <c r="F74" s="112">
        <f t="shared" si="22"/>
        <v>-0.84335999999999978</v>
      </c>
      <c r="G74" s="263"/>
      <c r="H74" s="684">
        <f t="shared" si="23"/>
        <v>0</v>
      </c>
      <c r="I74" s="684">
        <f>(D74*SUM('GPL-DCC Process Workings'!L$8,'GPL-DCC System Workings'!L$8))+($I22)</f>
        <v>0</v>
      </c>
      <c r="J74" s="679">
        <f t="shared" si="24"/>
        <v>0</v>
      </c>
      <c r="K74" s="679">
        <f>(D74*SUM('GPL-DCC Process Workings'!L$7,'GPL-DCC System Workings'!L$7))+($K22)</f>
        <v>0</v>
      </c>
      <c r="L74" s="679"/>
      <c r="M74" s="679">
        <f t="shared" si="25"/>
        <v>0</v>
      </c>
      <c r="N74" s="679">
        <f t="shared" si="25"/>
        <v>0</v>
      </c>
      <c r="O74" s="679">
        <f t="shared" si="25"/>
        <v>0</v>
      </c>
      <c r="P74" s="679">
        <f t="shared" si="25"/>
        <v>0</v>
      </c>
      <c r="Q74" s="679">
        <f t="shared" si="25"/>
        <v>0</v>
      </c>
      <c r="R74" s="679">
        <f t="shared" si="25"/>
        <v>0</v>
      </c>
      <c r="S74" s="679">
        <f t="shared" si="25"/>
        <v>0</v>
      </c>
      <c r="T74" s="679">
        <f t="shared" si="25"/>
        <v>0</v>
      </c>
      <c r="U74" s="679">
        <f t="shared" si="25"/>
        <v>0</v>
      </c>
      <c r="V74" s="679">
        <f t="shared" si="25"/>
        <v>0</v>
      </c>
      <c r="W74" s="679"/>
      <c r="X74" s="679">
        <f t="shared" si="26"/>
        <v>0</v>
      </c>
      <c r="Y74" s="263"/>
      <c r="Z74" s="263"/>
      <c r="AC74" s="140"/>
    </row>
    <row r="75" spans="1:29" outlineLevel="1" x14ac:dyDescent="0.25">
      <c r="A75" s="263"/>
      <c r="B75" s="263"/>
      <c r="C75" s="24" t="s">
        <v>82</v>
      </c>
      <c r="D75" s="24">
        <f>Inputs_General!$G$12</f>
        <v>11</v>
      </c>
      <c r="E75" s="677">
        <f>Inputs_Switchers!$C$14</f>
        <v>0</v>
      </c>
      <c r="F75" s="112">
        <f t="shared" si="22"/>
        <v>-0.84335999999999978</v>
      </c>
      <c r="G75" s="263"/>
      <c r="H75" s="684">
        <f t="shared" si="23"/>
        <v>0</v>
      </c>
      <c r="I75" s="684">
        <f>(D75*SUM('GPL-DCC Process Workings'!M$8,'GPL-DCC System Workings'!M$8))+($I23)</f>
        <v>624392.49277777795</v>
      </c>
      <c r="J75" s="676">
        <f t="shared" si="24"/>
        <v>624392.49277777795</v>
      </c>
      <c r="K75" s="684">
        <f>(D75*SUM('GPL-DCC Process Workings'!M$7,'GPL-DCC System Workings'!M$7))+($K23)</f>
        <v>3694753.0888888892</v>
      </c>
      <c r="L75" s="263"/>
      <c r="M75" s="676">
        <f t="shared" si="25"/>
        <v>1175019.6564768287</v>
      </c>
      <c r="N75" s="676">
        <f t="shared" si="25"/>
        <v>1135284.6922481437</v>
      </c>
      <c r="O75" s="676">
        <f t="shared" si="25"/>
        <v>1096893.4224619747</v>
      </c>
      <c r="P75" s="676">
        <f t="shared" si="25"/>
        <v>1059800.4081758212</v>
      </c>
      <c r="Q75" s="676">
        <f t="shared" si="25"/>
        <v>1023961.7470297789</v>
      </c>
      <c r="R75" s="676">
        <f t="shared" si="25"/>
        <v>989335.02128481062</v>
      </c>
      <c r="S75" s="676">
        <f t="shared" si="25"/>
        <v>955879.24761817453</v>
      </c>
      <c r="T75" s="676">
        <f t="shared" si="25"/>
        <v>923554.82861659385</v>
      </c>
      <c r="U75" s="676">
        <f t="shared" si="25"/>
        <v>892323.50590975268</v>
      </c>
      <c r="V75" s="676">
        <f t="shared" si="25"/>
        <v>862148.31488864997</v>
      </c>
      <c r="W75" s="676"/>
      <c r="X75" s="676">
        <f t="shared" si="26"/>
        <v>10114200.844710529</v>
      </c>
      <c r="Y75" s="263"/>
      <c r="Z75" s="263"/>
      <c r="AC75" s="140"/>
    </row>
    <row r="76" spans="1:29" ht="15.75" outlineLevel="1" thickBot="1" x14ac:dyDescent="0.3">
      <c r="A76" s="263"/>
      <c r="B76" s="263"/>
      <c r="C76" s="688"/>
      <c r="D76" s="688"/>
      <c r="E76" s="688"/>
      <c r="F76" s="688"/>
      <c r="G76" s="688"/>
      <c r="H76" s="690"/>
      <c r="I76" s="688"/>
      <c r="J76" s="688"/>
      <c r="K76" s="688"/>
      <c r="L76" s="688"/>
      <c r="M76" s="688"/>
      <c r="N76" s="688"/>
      <c r="O76" s="688"/>
      <c r="P76" s="688"/>
      <c r="Q76" s="688"/>
      <c r="R76" s="688"/>
      <c r="S76" s="688"/>
      <c r="T76" s="688"/>
      <c r="U76" s="688"/>
      <c r="V76" s="688"/>
      <c r="W76" s="688"/>
      <c r="X76" s="688"/>
      <c r="Y76" s="263"/>
      <c r="Z76" s="263"/>
      <c r="AC76" s="140"/>
    </row>
    <row r="77" spans="1:29" ht="15.75" thickTop="1" x14ac:dyDescent="0.25">
      <c r="A77" s="263"/>
      <c r="B77" s="263"/>
      <c r="C77" s="24" t="s">
        <v>44</v>
      </c>
      <c r="D77" s="263">
        <f>SUM(D69:D75)</f>
        <v>17</v>
      </c>
      <c r="E77" s="676">
        <f>Inputs_Switchers!$C$15</f>
        <v>883820.80200224102</v>
      </c>
      <c r="F77" s="491">
        <f>AVERAGE(F69:F75)</f>
        <v>-0.84335999999999978</v>
      </c>
      <c r="G77" s="263"/>
      <c r="H77" s="684">
        <f>SUM(H69:H75)</f>
        <v>0</v>
      </c>
      <c r="I77" s="676">
        <f>SUM(I69:I75)</f>
        <v>1009148.1594444446</v>
      </c>
      <c r="J77" s="676">
        <f>SUM(J69:J75)</f>
        <v>1009148.1594444446</v>
      </c>
      <c r="K77" s="676">
        <f>SUM(K69:K75)</f>
        <v>6085106.4222222231</v>
      </c>
      <c r="L77" s="263"/>
      <c r="M77" s="676">
        <f t="shared" ref="M77:V77" si="27">IF($I$7="Spackman",((($K77/Annuity_Factor)+$J77)/((1+Disc_Rate)^(M$14-1))),($J77/((1+Disc_Rate)^(M$14-1))))</f>
        <v>1916008.4582155119</v>
      </c>
      <c r="N77" s="676">
        <f t="shared" si="27"/>
        <v>1851215.9016574996</v>
      </c>
      <c r="O77" s="676">
        <f t="shared" si="27"/>
        <v>1788614.3977367147</v>
      </c>
      <c r="P77" s="676">
        <f t="shared" si="27"/>
        <v>1728129.8528857147</v>
      </c>
      <c r="Q77" s="676">
        <f t="shared" si="27"/>
        <v>1669690.6791166328</v>
      </c>
      <c r="R77" s="676">
        <f t="shared" si="27"/>
        <v>1613227.7092914328</v>
      </c>
      <c r="S77" s="676">
        <f t="shared" si="27"/>
        <v>1558674.1152574229</v>
      </c>
      <c r="T77" s="676">
        <f t="shared" si="27"/>
        <v>1505965.3287511333</v>
      </c>
      <c r="U77" s="676">
        <f t="shared" si="27"/>
        <v>1455038.9649769408</v>
      </c>
      <c r="V77" s="676">
        <f t="shared" si="27"/>
        <v>1405834.7487699913</v>
      </c>
      <c r="W77" s="676"/>
      <c r="X77" s="676">
        <f>IF($I$7="Spackman", (SUM(M77:V77)), ($K77+SUM(M77:V77)))</f>
        <v>16492400.156658994</v>
      </c>
      <c r="Y77" s="263"/>
      <c r="Z77" s="263"/>
      <c r="AC77" s="140"/>
    </row>
    <row r="78" spans="1:29" x14ac:dyDescent="0.25">
      <c r="A78" s="263"/>
      <c r="B78" s="263"/>
      <c r="C78" s="263"/>
      <c r="D78" s="263"/>
      <c r="E78" s="263"/>
      <c r="F78" s="263"/>
      <c r="G78" s="263"/>
      <c r="H78" s="263"/>
      <c r="I78" s="263"/>
      <c r="J78" s="263"/>
      <c r="K78" s="263"/>
      <c r="L78" s="263"/>
      <c r="M78" s="263"/>
      <c r="N78" s="263"/>
      <c r="O78" s="263"/>
      <c r="P78" s="263"/>
      <c r="Q78" s="263"/>
      <c r="R78" s="263"/>
      <c r="S78" s="263"/>
      <c r="T78" s="263"/>
      <c r="U78" s="263"/>
      <c r="V78" s="263"/>
      <c r="W78" s="263"/>
      <c r="X78" s="263"/>
      <c r="Y78" s="263"/>
      <c r="Z78" s="263"/>
    </row>
    <row r="79" spans="1:29" x14ac:dyDescent="0.25">
      <c r="A79" s="263"/>
      <c r="B79" s="263"/>
      <c r="C79" s="263"/>
      <c r="D79" s="263"/>
      <c r="E79" s="263"/>
      <c r="F79" s="263"/>
      <c r="G79" s="263"/>
      <c r="H79" s="263"/>
      <c r="I79" s="263"/>
      <c r="J79" s="263"/>
      <c r="K79" s="263"/>
      <c r="L79" s="263"/>
      <c r="M79" s="263"/>
      <c r="N79" s="263"/>
      <c r="O79" s="263"/>
      <c r="P79" s="263"/>
      <c r="Q79" s="263"/>
      <c r="R79" s="263"/>
      <c r="S79" s="263"/>
      <c r="T79" s="263"/>
      <c r="U79" s="263"/>
      <c r="V79" s="263"/>
      <c r="W79" s="263"/>
      <c r="X79" s="263"/>
      <c r="Y79" s="263"/>
      <c r="Z79" s="263"/>
    </row>
    <row r="80" spans="1:29" x14ac:dyDescent="0.25">
      <c r="A80" s="263"/>
      <c r="B80" s="263"/>
      <c r="C80" s="263"/>
      <c r="D80" s="263"/>
      <c r="E80" s="263"/>
      <c r="F80" s="263"/>
      <c r="G80" s="263"/>
      <c r="H80" s="263"/>
      <c r="I80" s="263"/>
      <c r="J80" s="263"/>
      <c r="K80" s="263"/>
      <c r="L80" s="263"/>
      <c r="M80" s="263"/>
      <c r="N80" s="263"/>
      <c r="O80" s="263"/>
      <c r="P80" s="263"/>
      <c r="Q80" s="263"/>
      <c r="R80" s="263"/>
      <c r="S80" s="263"/>
      <c r="T80" s="263"/>
      <c r="U80" s="263"/>
      <c r="V80" s="263"/>
      <c r="W80" s="263"/>
      <c r="X80" s="263"/>
      <c r="Y80" s="263"/>
      <c r="Z80" s="263"/>
    </row>
    <row r="81" spans="1:26" x14ac:dyDescent="0.25">
      <c r="A81" s="263"/>
      <c r="B81" s="263"/>
      <c r="C81" s="263"/>
      <c r="D81" s="263"/>
      <c r="E81" s="263"/>
      <c r="F81" s="263"/>
      <c r="G81" s="263"/>
      <c r="H81" s="263"/>
      <c r="I81" s="263"/>
      <c r="J81" s="263"/>
      <c r="K81" s="691"/>
      <c r="L81" s="263"/>
      <c r="M81" s="263"/>
      <c r="N81" s="263"/>
      <c r="O81" s="263"/>
      <c r="P81" s="263"/>
      <c r="Q81" s="263"/>
      <c r="R81" s="263"/>
      <c r="S81" s="263"/>
      <c r="T81" s="263"/>
      <c r="U81" s="263"/>
      <c r="V81" s="263"/>
      <c r="W81" s="263"/>
      <c r="X81" s="263"/>
      <c r="Y81" s="263"/>
      <c r="Z81" s="263"/>
    </row>
  </sheetData>
  <pageMargins left="0.7" right="0.7" top="0.75" bottom="0.75" header="0.3" footer="0.3"/>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65"/>
  <sheetViews>
    <sheetView showGridLines="0" zoomScale="80" zoomScaleNormal="80" workbookViewId="0"/>
  </sheetViews>
  <sheetFormatPr defaultRowHeight="15" outlineLevelRow="1" x14ac:dyDescent="0.25"/>
  <cols>
    <col min="4" max="4" width="10.42578125" bestFit="1" customWidth="1"/>
    <col min="5" max="5" width="15.42578125" style="262" bestFit="1" customWidth="1"/>
    <col min="6" max="6" width="20.28515625" customWidth="1"/>
    <col min="7" max="7" width="17.42578125" style="262" bestFit="1" customWidth="1"/>
    <col min="8" max="8" width="12.85546875" bestFit="1" customWidth="1"/>
    <col min="10" max="11" width="9.42578125" bestFit="1" customWidth="1"/>
    <col min="12" max="12" width="11.85546875" customWidth="1"/>
    <col min="13" max="19" width="9.42578125" bestFit="1" customWidth="1"/>
    <col min="20" max="20" width="4.28515625" customWidth="1"/>
    <col min="21" max="21" width="11.140625" bestFit="1" customWidth="1"/>
    <col min="23" max="23" width="15.42578125" style="254" bestFit="1" customWidth="1"/>
    <col min="24" max="24" width="13.140625" style="254" bestFit="1" customWidth="1"/>
  </cols>
  <sheetData>
    <row r="1" spans="1:42" s="10" customFormat="1" ht="12.75" x14ac:dyDescent="0.2">
      <c r="H1" s="17"/>
      <c r="I1" s="17"/>
      <c r="J1" s="17"/>
      <c r="K1" s="17"/>
      <c r="L1" s="17"/>
      <c r="M1" s="17"/>
      <c r="N1" s="17"/>
      <c r="O1" s="17"/>
      <c r="P1" s="17"/>
      <c r="Q1" s="17"/>
      <c r="R1" s="17"/>
      <c r="W1" s="25"/>
      <c r="X1" s="25"/>
    </row>
    <row r="2" spans="1:42" s="10" customFormat="1" ht="12.75" x14ac:dyDescent="0.2">
      <c r="B2" s="10" t="s">
        <v>0</v>
      </c>
      <c r="C2" s="12" t="str">
        <f ca="1">MID(CELL("filename",A1),FIND("]",CELL("filename",A1))+1,256)</f>
        <v>NPC_TierA</v>
      </c>
      <c r="D2" s="12"/>
      <c r="E2" s="12"/>
      <c r="H2" s="17"/>
      <c r="I2" s="17"/>
      <c r="J2" s="17"/>
      <c r="K2" s="17"/>
      <c r="L2" s="17"/>
      <c r="M2" s="17"/>
      <c r="N2" s="17"/>
      <c r="O2" s="17"/>
      <c r="P2" s="17"/>
      <c r="Q2" s="17"/>
      <c r="R2" s="17"/>
      <c r="W2" s="25"/>
      <c r="X2" s="25"/>
    </row>
    <row r="3" spans="1:42" s="10" customFormat="1" ht="12.75" x14ac:dyDescent="0.2">
      <c r="B3" s="10" t="s">
        <v>1</v>
      </c>
      <c r="C3" s="10" t="s">
        <v>465</v>
      </c>
      <c r="F3" s="266"/>
      <c r="G3" s="266"/>
      <c r="H3" s="17"/>
      <c r="I3" s="17"/>
      <c r="J3" s="17"/>
      <c r="K3" s="197"/>
      <c r="L3" s="17"/>
      <c r="M3" s="17"/>
      <c r="N3" s="17"/>
      <c r="O3" s="17"/>
      <c r="P3" s="17"/>
      <c r="Q3" s="17"/>
      <c r="R3" s="17"/>
      <c r="W3" s="25"/>
      <c r="X3" s="25"/>
    </row>
    <row r="4" spans="1:42" x14ac:dyDescent="0.25">
      <c r="A4" s="263"/>
      <c r="B4" s="263"/>
      <c r="C4" s="263"/>
      <c r="D4" s="263"/>
      <c r="E4" s="263"/>
      <c r="F4" s="263"/>
      <c r="G4" s="263"/>
      <c r="H4" s="263"/>
      <c r="I4" s="263"/>
      <c r="J4" s="263"/>
      <c r="K4" s="263"/>
      <c r="L4" s="263"/>
      <c r="M4" s="263"/>
      <c r="N4" s="263"/>
      <c r="O4" s="263"/>
      <c r="P4" s="263"/>
      <c r="Q4" s="263"/>
      <c r="R4" s="263"/>
      <c r="S4" s="263"/>
      <c r="T4" s="263"/>
      <c r="U4" s="263"/>
      <c r="V4" s="263"/>
    </row>
    <row r="5" spans="1:42" s="10" customFormat="1" ht="12.75" x14ac:dyDescent="0.2">
      <c r="E5" s="72" t="s">
        <v>86</v>
      </c>
      <c r="F5" s="72" t="s">
        <v>87</v>
      </c>
      <c r="G5" s="72" t="s">
        <v>89</v>
      </c>
      <c r="H5" s="71" t="s">
        <v>88</v>
      </c>
      <c r="I5" s="39"/>
      <c r="J5" s="22" t="s">
        <v>301</v>
      </c>
      <c r="K5" s="17"/>
      <c r="L5" s="17"/>
      <c r="M5" s="263"/>
      <c r="N5" s="17"/>
      <c r="O5" s="17"/>
      <c r="P5" s="17"/>
      <c r="Q5" s="17"/>
      <c r="R5" s="17"/>
      <c r="W5" s="25"/>
      <c r="X5" s="25"/>
    </row>
    <row r="6" spans="1:42" s="24" customFormat="1" ht="12.75" x14ac:dyDescent="0.2">
      <c r="A6" s="19"/>
      <c r="B6" s="19"/>
      <c r="C6" s="19" t="s">
        <v>28</v>
      </c>
      <c r="D6" s="19" t="s">
        <v>199</v>
      </c>
      <c r="E6" s="19"/>
      <c r="F6" s="47"/>
      <c r="G6" s="47"/>
      <c r="H6" s="47"/>
      <c r="I6" s="47"/>
      <c r="J6" s="19" t="s">
        <v>31</v>
      </c>
      <c r="K6" s="19" t="s">
        <v>32</v>
      </c>
      <c r="L6" s="19" t="s">
        <v>33</v>
      </c>
      <c r="M6" s="19" t="s">
        <v>34</v>
      </c>
      <c r="N6" s="19" t="s">
        <v>35</v>
      </c>
      <c r="O6" s="19" t="s">
        <v>36</v>
      </c>
      <c r="P6" s="19" t="s">
        <v>37</v>
      </c>
      <c r="Q6" s="19" t="s">
        <v>38</v>
      </c>
      <c r="R6" s="19" t="s">
        <v>39</v>
      </c>
      <c r="S6" s="26" t="s">
        <v>40</v>
      </c>
      <c r="T6" s="19"/>
      <c r="U6" s="19" t="s">
        <v>78</v>
      </c>
      <c r="W6" s="49"/>
      <c r="X6" s="49"/>
    </row>
    <row r="7" spans="1:42" x14ac:dyDescent="0.25">
      <c r="A7" s="263"/>
      <c r="B7" s="263"/>
      <c r="C7" s="263"/>
      <c r="D7" s="263"/>
      <c r="E7" s="263"/>
      <c r="F7" s="263"/>
      <c r="G7" s="263"/>
      <c r="H7" s="263"/>
      <c r="I7" s="263"/>
      <c r="J7" s="263"/>
      <c r="K7" s="263"/>
      <c r="L7" s="263"/>
      <c r="M7" s="263"/>
      <c r="N7" s="263"/>
      <c r="O7" s="263"/>
      <c r="P7" s="263"/>
      <c r="Q7" s="263"/>
      <c r="R7" s="263"/>
      <c r="S7" s="263"/>
      <c r="T7" s="263"/>
      <c r="U7" s="263"/>
      <c r="V7" s="263"/>
    </row>
    <row r="8" spans="1:42" s="262" customFormat="1" x14ac:dyDescent="0.25">
      <c r="A8" s="263"/>
      <c r="B8" s="263"/>
      <c r="C8" s="186" t="s">
        <v>285</v>
      </c>
      <c r="D8" s="38"/>
      <c r="E8" s="38"/>
      <c r="F8" s="38"/>
      <c r="G8" s="38"/>
      <c r="H8" s="38"/>
      <c r="I8" s="38"/>
      <c r="J8" s="38"/>
      <c r="K8" s="38"/>
      <c r="L8" s="38"/>
      <c r="M8" s="38"/>
      <c r="N8" s="38"/>
      <c r="O8" s="38"/>
      <c r="P8" s="38"/>
      <c r="Q8" s="38"/>
      <c r="R8" s="38"/>
      <c r="S8" s="38"/>
      <c r="T8" s="38"/>
      <c r="U8" s="38"/>
      <c r="V8" s="263"/>
      <c r="W8" s="254"/>
      <c r="X8" s="258"/>
    </row>
    <row r="9" spans="1:42" s="262" customFormat="1" x14ac:dyDescent="0.25">
      <c r="A9" s="263"/>
      <c r="B9" s="263"/>
      <c r="C9" s="263"/>
      <c r="D9" s="263"/>
      <c r="E9" s="263"/>
      <c r="F9" s="263"/>
      <c r="G9" s="263"/>
      <c r="H9" s="263"/>
      <c r="I9" s="263"/>
      <c r="J9" s="678"/>
      <c r="K9" s="263"/>
      <c r="L9" s="263"/>
      <c r="M9" s="17"/>
      <c r="N9" s="263"/>
      <c r="O9" s="263"/>
      <c r="P9" s="263"/>
      <c r="Q9" s="263"/>
      <c r="R9" s="263"/>
      <c r="S9" s="263"/>
      <c r="T9" s="263"/>
      <c r="U9" s="263"/>
      <c r="V9" s="263"/>
      <c r="W9" s="254"/>
      <c r="X9" s="258"/>
    </row>
    <row r="10" spans="1:42" s="10" customFormat="1" ht="12.75" outlineLevel="1" x14ac:dyDescent="0.2">
      <c r="C10" s="24" t="s">
        <v>81</v>
      </c>
      <c r="D10" s="24">
        <f>Inputs_General!$G$11</f>
        <v>50</v>
      </c>
      <c r="E10" s="24"/>
      <c r="F10" s="677">
        <f>D10*SUM(General_Solutions!N18,General_Solutions!N30)</f>
        <v>0</v>
      </c>
      <c r="G10" s="677">
        <f>F10+E10</f>
        <v>0</v>
      </c>
      <c r="H10" s="679">
        <f>D10*SUM(General_Solutions!N15,General_Solutions!N27)</f>
        <v>0</v>
      </c>
      <c r="I10" s="680"/>
      <c r="J10" s="677">
        <f>IF(NPC_Results!$I$7="Spackman",((($H10/Annuity_Factor)+$G10)/((1+Disc_Rate)^(NPC_Results!M$14-1))),($G10/((1+Disc_Rate)^(NPC_Results!M$14-1))))</f>
        <v>0</v>
      </c>
      <c r="K10" s="677">
        <f>IF(NPC_Results!$I$7="Spackman",((($H10/Annuity_Factor)+$G10)/((1+Disc_Rate)^(NPC_Results!N$14-1))),($G10/((1+Disc_Rate)^(NPC_Results!N$14-1))))</f>
        <v>0</v>
      </c>
      <c r="L10" s="677">
        <f>IF(NPC_Results!$I$7="Spackman",((($H10/Annuity_Factor)+$G10)/((1+Disc_Rate)^(NPC_Results!O$14-1))),($G10/((1+Disc_Rate)^(NPC_Results!O$14-1))))</f>
        <v>0</v>
      </c>
      <c r="M10" s="677">
        <f>IF(NPC_Results!$I$7="Spackman",((($H10/Annuity_Factor)+$G10)/((1+Disc_Rate)^(NPC_Results!P$14-1))),($G10/((1+Disc_Rate)^(NPC_Results!P$14-1))))</f>
        <v>0</v>
      </c>
      <c r="N10" s="677">
        <f>IF(NPC_Results!$I$7="Spackman",((($H10/Annuity_Factor)+$G10)/((1+Disc_Rate)^(NPC_Results!Q$14-1))),($G10/((1+Disc_Rate)^(NPC_Results!Q$14-1))))</f>
        <v>0</v>
      </c>
      <c r="O10" s="677">
        <f>IF(NPC_Results!$I$7="Spackman",((($H10/Annuity_Factor)+$G10)/((1+Disc_Rate)^(NPC_Results!R$14-1))),($G10/((1+Disc_Rate)^(NPC_Results!R$14-1))))</f>
        <v>0</v>
      </c>
      <c r="P10" s="677">
        <f>IF(NPC_Results!$I$7="Spackman",((($H10/Annuity_Factor)+$G10)/((1+Disc_Rate)^(NPC_Results!S$14-1))),($G10/((1+Disc_Rate)^(NPC_Results!S$14-1))))</f>
        <v>0</v>
      </c>
      <c r="Q10" s="677">
        <f>IF(NPC_Results!$I$7="Spackman",((($H10/Annuity_Factor)+$G10)/((1+Disc_Rate)^(NPC_Results!T$14-1))),($G10/((1+Disc_Rate)^(NPC_Results!T$14-1))))</f>
        <v>0</v>
      </c>
      <c r="R10" s="677">
        <f>IF(NPC_Results!$I$7="Spackman",((($H10/Annuity_Factor)+$G10)/((1+Disc_Rate)^(NPC_Results!U$14-1))),($G10/((1+Disc_Rate)^(NPC_Results!U$14-1))))</f>
        <v>0</v>
      </c>
      <c r="S10" s="677">
        <f>IF(NPC_Results!$I$7="Spackman",((($H10/Annuity_Factor)+$G10)/((1+Disc_Rate)^(NPC_Results!V$14-1))),($G10/((1+Disc_Rate)^(NPC_Results!V$14-1))))</f>
        <v>0</v>
      </c>
      <c r="T10" s="680"/>
      <c r="U10" s="677">
        <f>IF(NPC_Results!$I$7="Spackman", (SUM(J10:S10)), ($H10+SUM(J10:S10)))</f>
        <v>0</v>
      </c>
      <c r="W10" s="25"/>
      <c r="X10" s="25"/>
    </row>
    <row r="11" spans="1:42" s="10" customFormat="1" ht="13.5" outlineLevel="1" thickBot="1" x14ac:dyDescent="0.25">
      <c r="C11" s="290" t="s">
        <v>90</v>
      </c>
      <c r="D11" s="290">
        <f>Inputs_General!$G$14</f>
        <v>5</v>
      </c>
      <c r="E11" s="290"/>
      <c r="F11" s="681">
        <f>D11*SUM(General_Solutions!O18,General_Solutions!O30)</f>
        <v>33000.000000000007</v>
      </c>
      <c r="G11" s="681">
        <f>F11+E11</f>
        <v>33000.000000000007</v>
      </c>
      <c r="H11" s="682">
        <f>D11*SUM(General_Solutions!O15,General_Solutions!O27)</f>
        <v>165000.00000000003</v>
      </c>
      <c r="I11" s="682"/>
      <c r="J11" s="681">
        <f>IF(NPC_Results!$I$7="Spackman",((($H11/Annuity_Factor)+$G11)/((1+Disc_Rate)^(NPC_Results!M$14-1))),($G11/((1+Disc_Rate)^(NPC_Results!M$14-1))))</f>
        <v>57589.865635017442</v>
      </c>
      <c r="K11" s="681">
        <f>IF(NPC_Results!$I$7="Spackman",((($H11/Annuity_Factor)+$G11)/((1+Disc_Rate)^(NPC_Results!N$14-1))),($G11/((1+Disc_Rate)^(NPC_Results!N$14-1))))</f>
        <v>55642.382256055505</v>
      </c>
      <c r="L11" s="681">
        <f>IF(NPC_Results!$I$7="Spackman",((($H11/Annuity_Factor)+$G11)/((1+Disc_Rate)^(NPC_Results!O$14-1))),($G11/((1+Disc_Rate)^(NPC_Results!O$14-1))))</f>
        <v>53760.755802952182</v>
      </c>
      <c r="M11" s="681">
        <f>IF(NPC_Results!$I$7="Spackman",((($H11/Annuity_Factor)+$G11)/((1+Disc_Rate)^(NPC_Results!P$14-1))),($G11/((1+Disc_Rate)^(NPC_Results!P$14-1))))</f>
        <v>51942.759229905496</v>
      </c>
      <c r="N11" s="681">
        <f>IF(NPC_Results!$I$7="Spackman",((($H11/Annuity_Factor)+$G11)/((1+Disc_Rate)^(NPC_Results!Q$14-1))),($G11/((1+Disc_Rate)^(NPC_Results!Q$14-1))))</f>
        <v>50186.240801841057</v>
      </c>
      <c r="O11" s="681">
        <f>IF(NPC_Results!$I$7="Spackman",((($H11/Annuity_Factor)+$G11)/((1+Disc_Rate)^(NPC_Results!R$14-1))),($G11/((1+Disc_Rate)^(NPC_Results!R$14-1))))</f>
        <v>48489.121547672527</v>
      </c>
      <c r="P11" s="681">
        <f>IF(NPC_Results!$I$7="Spackman",((($H11/Annuity_Factor)+$G11)/((1+Disc_Rate)^(NPC_Results!S$14-1))),($G11/((1+Disc_Rate)^(NPC_Results!S$14-1))))</f>
        <v>46849.392799683599</v>
      </c>
      <c r="Q11" s="681">
        <f>IF(NPC_Results!$I$7="Spackman",((($H11/Annuity_Factor)+$G11)/((1+Disc_Rate)^(NPC_Results!T$14-1))),($G11/((1+Disc_Rate)^(NPC_Results!T$14-1))))</f>
        <v>45265.113816119425</v>
      </c>
      <c r="R11" s="681">
        <f>IF(NPC_Results!$I$7="Spackman",((($H11/Annuity_Factor)+$G11)/((1+Disc_Rate)^(NPC_Results!U$14-1))),($G11/((1+Disc_Rate)^(NPC_Results!U$14-1))))</f>
        <v>43734.409484173368</v>
      </c>
      <c r="S11" s="681">
        <f>IF(NPC_Results!$I$7="Spackman",((($H11/Annuity_Factor)+$G11)/((1+Disc_Rate)^(NPC_Results!V$14-1))),($G11/((1+Disc_Rate)^(NPC_Results!V$14-1))))</f>
        <v>42255.4681006506</v>
      </c>
      <c r="T11" s="682"/>
      <c r="U11" s="681">
        <f>IF(NPC_Results!$I$7="Spackman", (SUM(J11:S11)), ($H11+SUM(J11:S11)))</f>
        <v>495715.50947407121</v>
      </c>
      <c r="W11" s="695"/>
      <c r="X11" s="25"/>
    </row>
    <row r="12" spans="1:42" s="10" customFormat="1" ht="13.5" outlineLevel="1" thickTop="1" x14ac:dyDescent="0.2">
      <c r="C12" s="24" t="s">
        <v>491</v>
      </c>
      <c r="D12" s="24"/>
      <c r="E12" s="24"/>
      <c r="F12" s="677">
        <f>SUM(F10:F11)</f>
        <v>33000.000000000007</v>
      </c>
      <c r="G12" s="677">
        <f>SUM(G10:G11)</f>
        <v>33000.000000000007</v>
      </c>
      <c r="H12" s="677">
        <f t="shared" ref="H12:U12" si="0">SUM(H10:H11)</f>
        <v>165000.00000000003</v>
      </c>
      <c r="I12" s="677"/>
      <c r="J12" s="677">
        <f t="shared" si="0"/>
        <v>57589.865635017442</v>
      </c>
      <c r="K12" s="677">
        <f t="shared" si="0"/>
        <v>55642.382256055505</v>
      </c>
      <c r="L12" s="677">
        <f t="shared" si="0"/>
        <v>53760.755802952182</v>
      </c>
      <c r="M12" s="677">
        <f t="shared" si="0"/>
        <v>51942.759229905496</v>
      </c>
      <c r="N12" s="677">
        <f t="shared" si="0"/>
        <v>50186.240801841057</v>
      </c>
      <c r="O12" s="677">
        <f t="shared" si="0"/>
        <v>48489.121547672527</v>
      </c>
      <c r="P12" s="677">
        <f t="shared" si="0"/>
        <v>46849.392799683599</v>
      </c>
      <c r="Q12" s="677">
        <f t="shared" si="0"/>
        <v>45265.113816119425</v>
      </c>
      <c r="R12" s="677">
        <f t="shared" si="0"/>
        <v>43734.409484173368</v>
      </c>
      <c r="S12" s="677">
        <f t="shared" si="0"/>
        <v>42255.4681006506</v>
      </c>
      <c r="T12" s="677"/>
      <c r="U12" s="677">
        <f t="shared" si="0"/>
        <v>495715.50947407121</v>
      </c>
      <c r="W12" s="695"/>
      <c r="X12" s="25"/>
    </row>
    <row r="13" spans="1:42" s="262" customFormat="1" x14ac:dyDescent="0.25">
      <c r="A13" s="263"/>
      <c r="B13" s="263"/>
      <c r="C13" s="263"/>
      <c r="D13" s="263"/>
      <c r="E13" s="263"/>
      <c r="F13" s="677"/>
      <c r="G13" s="677"/>
      <c r="H13" s="677"/>
      <c r="I13" s="677"/>
      <c r="J13" s="677"/>
      <c r="K13" s="677"/>
      <c r="L13" s="677"/>
      <c r="M13" s="677"/>
      <c r="N13" s="677"/>
      <c r="O13" s="677"/>
      <c r="P13" s="677"/>
      <c r="Q13" s="677"/>
      <c r="R13" s="677"/>
      <c r="S13" s="677"/>
      <c r="T13" s="677"/>
      <c r="U13" s="677"/>
      <c r="V13" s="263"/>
      <c r="W13" s="685"/>
      <c r="X13" s="254"/>
    </row>
    <row r="14" spans="1:42" x14ac:dyDescent="0.25">
      <c r="A14" s="263"/>
      <c r="B14" s="263"/>
      <c r="C14" s="38" t="s">
        <v>178</v>
      </c>
      <c r="D14" s="38"/>
      <c r="E14" s="38"/>
      <c r="F14" s="683"/>
      <c r="G14" s="683"/>
      <c r="H14" s="683"/>
      <c r="I14" s="683"/>
      <c r="J14" s="683"/>
      <c r="K14" s="683"/>
      <c r="L14" s="683"/>
      <c r="M14" s="683"/>
      <c r="N14" s="683"/>
      <c r="O14" s="683"/>
      <c r="P14" s="683"/>
      <c r="Q14" s="683"/>
      <c r="R14" s="683"/>
      <c r="S14" s="683"/>
      <c r="T14" s="683"/>
      <c r="U14" s="683"/>
      <c r="V14" s="263"/>
      <c r="W14" s="685"/>
    </row>
    <row r="15" spans="1:42" x14ac:dyDescent="0.25">
      <c r="A15" s="263"/>
      <c r="B15" s="263"/>
      <c r="C15" s="263"/>
      <c r="D15" s="263"/>
      <c r="E15" s="263"/>
      <c r="F15" s="677"/>
      <c r="G15" s="677"/>
      <c r="H15" s="677"/>
      <c r="I15" s="677"/>
      <c r="J15" s="677"/>
      <c r="K15" s="677"/>
      <c r="L15" s="677"/>
      <c r="M15" s="677"/>
      <c r="N15" s="677"/>
      <c r="O15" s="677"/>
      <c r="P15" s="677"/>
      <c r="Q15" s="677"/>
      <c r="R15" s="677"/>
      <c r="S15" s="677"/>
      <c r="T15" s="677"/>
      <c r="U15" s="677"/>
      <c r="V15" s="263"/>
      <c r="W15" s="685"/>
    </row>
    <row r="16" spans="1:42" x14ac:dyDescent="0.25">
      <c r="A16" s="263"/>
      <c r="B16" s="263"/>
      <c r="C16" s="24" t="s">
        <v>81</v>
      </c>
      <c r="D16" s="24">
        <f>Inputs_General!$G$11</f>
        <v>50</v>
      </c>
      <c r="E16" s="24"/>
      <c r="F16" s="677">
        <f>(D16*SUM('eC&amp;R-EMP Process Workings'!N$8,'eC&amp;R-EMP System Workings'!N$8))+(NPC_TierA!$F10)</f>
        <v>109650.04444444446</v>
      </c>
      <c r="G16" s="677">
        <f>F16+E16</f>
        <v>109650.04444444446</v>
      </c>
      <c r="H16" s="677">
        <f>(D16*SUM('eC&amp;R-EMP Process Workings'!N$7,'eC&amp;R-EMP System Workings'!N$7))+(NPC_TierA!$H10)</f>
        <v>548250.22222222225</v>
      </c>
      <c r="I16" s="677"/>
      <c r="J16" s="677">
        <f>IF(NPC_Results!$I$7="Spackman",((($H16/Annuity_Factor)+$G16)/((1+Disc_Rate)^(NPC_Results!M$14-1))),($G16/((1+Disc_Rate)^(NPC_Results!M$14-1))))</f>
        <v>191355.49474028018</v>
      </c>
      <c r="K16" s="677">
        <f>IF(NPC_Results!$I$7="Spackman",((($H16/Annuity_Factor)+$G16)/((1+Disc_Rate)^(NPC_Results!N$14-1))),($G16/((1+Disc_Rate)^(NPC_Results!N$14-1))))</f>
        <v>184884.53598094705</v>
      </c>
      <c r="L16" s="677">
        <f>IF(NPC_Results!$I$7="Spackman",((($H16/Annuity_Factor)+$G16)/((1+Disc_Rate)^(NPC_Results!O$14-1))),($G16/((1+Disc_Rate)^(NPC_Results!O$14-1))))</f>
        <v>178632.40191395851</v>
      </c>
      <c r="M16" s="677">
        <f>IF(NPC_Results!$I$7="Spackman",((($H16/Annuity_Factor)+$G16)/((1+Disc_Rate)^(NPC_Results!P$14-1))),($G16/((1+Disc_Rate)^(NPC_Results!P$14-1))))</f>
        <v>172591.69267049132</v>
      </c>
      <c r="N16" s="677">
        <f>IF(NPC_Results!$I$7="Spackman",((($H16/Annuity_Factor)+$G16)/((1+Disc_Rate)^(NPC_Results!Q$14-1))),($G16/((1+Disc_Rate)^(NPC_Results!Q$14-1))))</f>
        <v>166755.25861883222</v>
      </c>
      <c r="O16" s="677">
        <f>IF(NPC_Results!$I$7="Spackman",((($H16/Annuity_Factor)+$G16)/((1+Disc_Rate)^(NPC_Results!R$14-1))),($G16/((1+Disc_Rate)^(NPC_Results!R$14-1))))</f>
        <v>161116.19190225337</v>
      </c>
      <c r="P16" s="677">
        <f>IF(NPC_Results!$I$7="Spackman",((($H16/Annuity_Factor)+$G16)/((1+Disc_Rate)^(NPC_Results!S$14-1))),($G16/((1+Disc_Rate)^(NPC_Results!S$14-1))))</f>
        <v>155667.81826304673</v>
      </c>
      <c r="Q16" s="677">
        <f>IF(NPC_Results!$I$7="Spackman",((($H16/Annuity_Factor)+$G16)/((1+Disc_Rate)^(NPC_Results!T$14-1))),($G16/((1+Disc_Rate)^(NPC_Results!T$14-1))))</f>
        <v>150403.68914304033</v>
      </c>
      <c r="R16" s="677">
        <f>IF(NPC_Results!$I$7="Spackman",((($H16/Annuity_Factor)+$G16)/((1+Disc_Rate)^(NPC_Results!U$14-1))),($G16/((1+Disc_Rate)^(NPC_Results!U$14-1))))</f>
        <v>145317.57405124672</v>
      </c>
      <c r="S16" s="677">
        <f>IF(NPC_Results!$I$7="Spackman",((($H16/Annuity_Factor)+$G16)/((1+Disc_Rate)^(NPC_Results!V$14-1))),($G16/((1+Disc_Rate)^(NPC_Results!V$14-1))))</f>
        <v>140403.45318961039</v>
      </c>
      <c r="T16" s="677"/>
      <c r="U16" s="677">
        <f>IF(NPC_Results!$I$7="Spackman", (SUM(J16:S16)), ($H16+SUM(J16:S16)))</f>
        <v>1647128.1104737069</v>
      </c>
      <c r="V16" s="684"/>
      <c r="W16" s="685"/>
      <c r="X16" s="696"/>
      <c r="Y16" s="143"/>
      <c r="Z16" s="143"/>
      <c r="AB16" s="246"/>
      <c r="AC16" s="246"/>
      <c r="AE16" s="141"/>
      <c r="AI16" s="143"/>
      <c r="AJ16" s="143"/>
      <c r="AL16" s="143"/>
      <c r="AM16" s="143"/>
      <c r="AO16" s="143"/>
      <c r="AP16" s="143"/>
    </row>
    <row r="17" spans="1:42" ht="15.75" thickBot="1" x14ac:dyDescent="0.3">
      <c r="A17" s="263"/>
      <c r="B17" s="263"/>
      <c r="C17" s="290" t="s">
        <v>90</v>
      </c>
      <c r="D17" s="290">
        <f>Inputs_General!$G$14</f>
        <v>5</v>
      </c>
      <c r="E17" s="290"/>
      <c r="F17" s="681">
        <f>(D17*SUM('eC&amp;R-EMP Process Workings'!O$8,'eC&amp;R-EMP System Workings'!O$8))+(NPC_TierA!$F11)</f>
        <v>216727.5</v>
      </c>
      <c r="G17" s="681">
        <f>F17+E17</f>
        <v>216727.5</v>
      </c>
      <c r="H17" s="681">
        <f>(D17*SUM('eC&amp;R-EMP Process Workings'!O$7,'eC&amp;R-EMP System Workings'!O$7))+(NPC_TierA!$H11)</f>
        <v>1237087.5</v>
      </c>
      <c r="I17" s="681"/>
      <c r="J17" s="681">
        <f>IF(NPC_Results!$I$7="Spackman",((($H17/Annuity_Factor)+$G17)/((1+Disc_Rate)^(NPC_Results!M$14-1))),($G17/((1+Disc_Rate)^(NPC_Results!M$14-1))))</f>
        <v>401090.0175985432</v>
      </c>
      <c r="K17" s="681">
        <f>IF(NPC_Results!$I$7="Spackman",((($H17/Annuity_Factor)+$G17)/((1+Disc_Rate)^(NPC_Results!N$14-1))),($G17/((1+Disc_Rate)^(NPC_Results!N$14-1))))</f>
        <v>387526.58705173258</v>
      </c>
      <c r="L17" s="681">
        <f>IF(NPC_Results!$I$7="Spackman",((($H17/Annuity_Factor)+$G17)/((1+Disc_Rate)^(NPC_Results!O$14-1))),($G17/((1+Disc_Rate)^(NPC_Results!O$14-1))))</f>
        <v>374421.82323838898</v>
      </c>
      <c r="M17" s="681">
        <f>IF(NPC_Results!$I$7="Spackman",((($H17/Annuity_Factor)+$G17)/((1+Disc_Rate)^(NPC_Results!P$14-1))),($G17/((1+Disc_Rate)^(NPC_Results!P$14-1))))</f>
        <v>361760.21568926476</v>
      </c>
      <c r="N17" s="681">
        <f>IF(NPC_Results!$I$7="Spackman",((($H17/Annuity_Factor)+$G17)/((1+Disc_Rate)^(NPC_Results!Q$14-1))),($G17/((1+Disc_Rate)^(NPC_Results!Q$14-1))))</f>
        <v>349526.7784437341</v>
      </c>
      <c r="O17" s="681">
        <f>IF(NPC_Results!$I$7="Spackman",((($H17/Annuity_Factor)+$G17)/((1+Disc_Rate)^(NPC_Results!R$14-1))),($G17/((1+Disc_Rate)^(NPC_Results!R$14-1))))</f>
        <v>337707.03231278661</v>
      </c>
      <c r="P17" s="681">
        <f>IF(NPC_Results!$I$7="Spackman",((($H17/Annuity_Factor)+$G17)/((1+Disc_Rate)^(NPC_Results!S$14-1))),($G17/((1+Disc_Rate)^(NPC_Results!S$14-1))))</f>
        <v>326286.98774182278</v>
      </c>
      <c r="Q17" s="681">
        <f>IF(NPC_Results!$I$7="Spackman",((($H17/Annuity_Factor)+$G17)/((1+Disc_Rate)^(NPC_Results!T$14-1))),($G17/((1+Disc_Rate)^(NPC_Results!T$14-1))))</f>
        <v>315253.12825296889</v>
      </c>
      <c r="R17" s="681">
        <f>IF(NPC_Results!$I$7="Spackman",((($H17/Annuity_Factor)+$G17)/((1+Disc_Rate)^(NPC_Results!U$14-1))),($G17/((1+Disc_Rate)^(NPC_Results!U$14-1))))</f>
        <v>304592.39444731304</v>
      </c>
      <c r="S17" s="681">
        <f>IF(NPC_Results!$I$7="Spackman",((($H17/Annuity_Factor)+$G17)/((1+Disc_Rate)^(NPC_Results!V$14-1))),($G17/((1+Disc_Rate)^(NPC_Results!V$14-1))))</f>
        <v>294292.16854812857</v>
      </c>
      <c r="T17" s="681"/>
      <c r="U17" s="681">
        <f>IF(NPC_Results!$I$7="Spackman", (SUM(J17:S17)), ($H17+SUM(J17:S17)))</f>
        <v>3452457.1333246841</v>
      </c>
      <c r="V17" s="684"/>
      <c r="W17" s="685"/>
      <c r="X17" s="696"/>
      <c r="Y17" s="143"/>
      <c r="Z17" s="143"/>
      <c r="AB17" s="246"/>
      <c r="AC17" s="246"/>
      <c r="AE17" s="141"/>
      <c r="AI17" s="143"/>
      <c r="AJ17" s="143"/>
      <c r="AL17" s="143"/>
      <c r="AM17" s="143"/>
      <c r="AO17" s="143"/>
      <c r="AP17" s="143"/>
    </row>
    <row r="18" spans="1:42" ht="15.75" thickTop="1" x14ac:dyDescent="0.25">
      <c r="A18" s="263"/>
      <c r="B18" s="263"/>
      <c r="C18" s="24" t="s">
        <v>491</v>
      </c>
      <c r="D18" s="24"/>
      <c r="E18" s="24"/>
      <c r="F18" s="677">
        <f>SUM(F16:F17)</f>
        <v>326377.54444444447</v>
      </c>
      <c r="G18" s="677">
        <f>SUM(G16:G17)</f>
        <v>326377.54444444447</v>
      </c>
      <c r="H18" s="677">
        <f t="shared" ref="H18" si="1">SUM(H16:H17)</f>
        <v>1785337.7222222222</v>
      </c>
      <c r="I18" s="677"/>
      <c r="J18" s="677">
        <f t="shared" ref="J18" si="2">SUM(J16:J17)</f>
        <v>592445.51233882341</v>
      </c>
      <c r="K18" s="677">
        <f t="shared" ref="K18" si="3">SUM(K16:K17)</f>
        <v>572411.12303267966</v>
      </c>
      <c r="L18" s="677">
        <f t="shared" ref="L18" si="4">SUM(L16:L17)</f>
        <v>553054.22515234747</v>
      </c>
      <c r="M18" s="677">
        <f t="shared" ref="M18" si="5">SUM(M16:M17)</f>
        <v>534351.90835975611</v>
      </c>
      <c r="N18" s="677">
        <f t="shared" ref="N18" si="6">SUM(N16:N17)</f>
        <v>516282.03706256632</v>
      </c>
      <c r="O18" s="677">
        <f t="shared" ref="O18" si="7">SUM(O16:O17)</f>
        <v>498823.22421503998</v>
      </c>
      <c r="P18" s="677">
        <f t="shared" ref="P18" si="8">SUM(P16:P17)</f>
        <v>481954.80600486952</v>
      </c>
      <c r="Q18" s="677">
        <f t="shared" ref="Q18" si="9">SUM(Q16:Q17)</f>
        <v>465656.81739600922</v>
      </c>
      <c r="R18" s="677">
        <f t="shared" ref="R18" si="10">SUM(R16:R17)</f>
        <v>449909.96849855979</v>
      </c>
      <c r="S18" s="677">
        <f t="shared" ref="S18" si="11">SUM(S16:S17)</f>
        <v>434695.62173773895</v>
      </c>
      <c r="T18" s="677"/>
      <c r="U18" s="677">
        <f t="shared" ref="U18" si="12">SUM(U16:U17)</f>
        <v>5099585.243798391</v>
      </c>
      <c r="V18" s="263"/>
      <c r="W18" s="685"/>
      <c r="X18" s="696"/>
    </row>
    <row r="19" spans="1:42" s="262" customFormat="1" x14ac:dyDescent="0.25">
      <c r="A19" s="263"/>
      <c r="B19" s="263"/>
      <c r="C19" s="24"/>
      <c r="D19" s="24"/>
      <c r="E19" s="24"/>
      <c r="F19" s="677"/>
      <c r="G19" s="677"/>
      <c r="H19" s="677"/>
      <c r="I19" s="677"/>
      <c r="J19" s="677"/>
      <c r="K19" s="677"/>
      <c r="L19" s="677"/>
      <c r="M19" s="677"/>
      <c r="N19" s="677"/>
      <c r="O19" s="677"/>
      <c r="P19" s="677"/>
      <c r="Q19" s="677"/>
      <c r="R19" s="677"/>
      <c r="S19" s="677"/>
      <c r="T19" s="677"/>
      <c r="U19" s="677"/>
      <c r="V19" s="263"/>
      <c r="W19" s="685"/>
      <c r="X19" s="293"/>
    </row>
    <row r="20" spans="1:42" x14ac:dyDescent="0.25">
      <c r="A20" s="263"/>
      <c r="B20" s="263"/>
      <c r="C20" s="38" t="s">
        <v>179</v>
      </c>
      <c r="D20" s="38"/>
      <c r="E20" s="38"/>
      <c r="F20" s="683"/>
      <c r="G20" s="683"/>
      <c r="H20" s="683"/>
      <c r="I20" s="683"/>
      <c r="J20" s="683"/>
      <c r="K20" s="683"/>
      <c r="L20" s="683"/>
      <c r="M20" s="683"/>
      <c r="N20" s="683"/>
      <c r="O20" s="683"/>
      <c r="P20" s="683"/>
      <c r="Q20" s="683"/>
      <c r="R20" s="683"/>
      <c r="S20" s="683"/>
      <c r="T20" s="683"/>
      <c r="U20" s="683"/>
      <c r="V20" s="263"/>
      <c r="W20" s="685"/>
      <c r="X20" s="293"/>
    </row>
    <row r="21" spans="1:42" x14ac:dyDescent="0.25">
      <c r="A21" s="263"/>
      <c r="B21" s="263"/>
      <c r="C21" s="263"/>
      <c r="D21" s="263"/>
      <c r="E21" s="263"/>
      <c r="F21" s="677"/>
      <c r="G21" s="677"/>
      <c r="H21" s="677"/>
      <c r="I21" s="677"/>
      <c r="J21" s="677"/>
      <c r="K21" s="677"/>
      <c r="L21" s="677"/>
      <c r="M21" s="677"/>
      <c r="N21" s="677"/>
      <c r="O21" s="677"/>
      <c r="P21" s="677"/>
      <c r="Q21" s="677"/>
      <c r="R21" s="677"/>
      <c r="S21" s="677"/>
      <c r="T21" s="677"/>
      <c r="U21" s="677"/>
      <c r="V21" s="263"/>
      <c r="W21" s="685"/>
      <c r="X21" s="293"/>
    </row>
    <row r="22" spans="1:42" x14ac:dyDescent="0.25">
      <c r="A22" s="263"/>
      <c r="B22" s="263"/>
      <c r="C22" s="24" t="s">
        <v>81</v>
      </c>
      <c r="D22" s="24">
        <f>Inputs_General!$G$11</f>
        <v>50</v>
      </c>
      <c r="E22" s="24"/>
      <c r="F22" s="677">
        <f>(D22*SUM('eC&amp;R-DCC Process Workings'!N$8,'eC&amp;R-DCC System Workings'!N$8))+(NPC_TierA!$F10)</f>
        <v>124035.82222222224</v>
      </c>
      <c r="G22" s="677">
        <f>F22+E22</f>
        <v>124035.82222222224</v>
      </c>
      <c r="H22" s="677">
        <f>(D22*SUM('eC&amp;R-DCC Process Workings'!N$7,'eC&amp;R-DCC System Workings'!N$7))+(NPC_TierA!$H10)</f>
        <v>620179.11111111112</v>
      </c>
      <c r="I22" s="677"/>
      <c r="J22" s="677">
        <f>IF(NPC_Results!$I$7="Spackman",((($H22/Annuity_Factor)+$G22)/((1+Disc_Rate)^(NPC_Results!M$14-1))),($G22/((1+Disc_Rate)^(NPC_Results!M$14-1))))</f>
        <v>216460.79805171781</v>
      </c>
      <c r="K22" s="677">
        <f>IF(NPC_Results!$I$7="Spackman",((($H22/Annuity_Factor)+$G22)/((1+Disc_Rate)^(NPC_Results!N$14-1))),($G22/((1+Disc_Rate)^(NPC_Results!N$14-1))))</f>
        <v>209140.86768281917</v>
      </c>
      <c r="L22" s="677">
        <f>IF(NPC_Results!$I$7="Spackman",((($H22/Annuity_Factor)+$G22)/((1+Disc_Rate)^(NPC_Results!O$14-1))),($G22/((1+Disc_Rate)^(NPC_Results!O$14-1))))</f>
        <v>202068.47119112962</v>
      </c>
      <c r="M22" s="677">
        <f>IF(NPC_Results!$I$7="Spackman",((($H22/Annuity_Factor)+$G22)/((1+Disc_Rate)^(NPC_Results!P$14-1))),($G22/((1+Disc_Rate)^(NPC_Results!P$14-1))))</f>
        <v>195235.23786582574</v>
      </c>
      <c r="N22" s="677">
        <f>IF(NPC_Results!$I$7="Spackman",((($H22/Annuity_Factor)+$G22)/((1+Disc_Rate)^(NPC_Results!Q$14-1))),($G22/((1+Disc_Rate)^(NPC_Results!Q$14-1))))</f>
        <v>188633.08006359977</v>
      </c>
      <c r="O22" s="677">
        <f>IF(NPC_Results!$I$7="Spackman",((($H22/Annuity_Factor)+$G22)/((1+Disc_Rate)^(NPC_Results!R$14-1))),($G22/((1+Disc_Rate)^(NPC_Results!R$14-1))))</f>
        <v>182254.18363632829</v>
      </c>
      <c r="P22" s="677">
        <f>IF(NPC_Results!$I$7="Spackman",((($H22/Annuity_Factor)+$G22)/((1+Disc_Rate)^(NPC_Results!S$14-1))),($G22/((1+Disc_Rate)^(NPC_Results!S$14-1))))</f>
        <v>176090.99868244279</v>
      </c>
      <c r="Q22" s="677">
        <f>IF(NPC_Results!$I$7="Spackman",((($H22/Annuity_Factor)+$G22)/((1+Disc_Rate)^(NPC_Results!T$14-1))),($G22/((1+Disc_Rate)^(NPC_Results!T$14-1))))</f>
        <v>170136.23061105586</v>
      </c>
      <c r="R22" s="677">
        <f>IF(NPC_Results!$I$7="Spackman",((($H22/Annuity_Factor)+$G22)/((1+Disc_Rate)^(NPC_Results!U$14-1))),($G22/((1+Disc_Rate)^(NPC_Results!U$14-1))))</f>
        <v>164382.83150826656</v>
      </c>
      <c r="S22" s="677">
        <f>IF(NPC_Results!$I$7="Spackman",((($H22/Annuity_Factor)+$G22)/((1+Disc_Rate)^(NPC_Results!V$14-1))),($G22/((1+Disc_Rate)^(NPC_Results!V$14-1))))</f>
        <v>158823.99179542664</v>
      </c>
      <c r="T22" s="677"/>
      <c r="U22" s="677">
        <f>IF(NPC_Results!$I$7="Spackman", (SUM(J22:S22)), ($H22+SUM(J22:S22)))</f>
        <v>1863226.6910886122</v>
      </c>
      <c r="V22" s="684"/>
      <c r="W22" s="685"/>
      <c r="X22" s="696"/>
      <c r="Y22" s="143"/>
      <c r="Z22" s="143"/>
      <c r="AI22" s="143"/>
      <c r="AJ22" s="143"/>
      <c r="AL22" s="143"/>
      <c r="AM22" s="143"/>
    </row>
    <row r="23" spans="1:42" ht="15.75" thickBot="1" x14ac:dyDescent="0.3">
      <c r="A23" s="263"/>
      <c r="B23" s="263"/>
      <c r="C23" s="290" t="s">
        <v>90</v>
      </c>
      <c r="D23" s="290">
        <f>Inputs_General!$G$14</f>
        <v>5</v>
      </c>
      <c r="E23" s="290"/>
      <c r="F23" s="681">
        <f>(D23*SUM('eC&amp;R-DCC Process Workings'!O$8,'eC&amp;R-DCC System Workings'!O$8))+(NPC_TierA!$F11)</f>
        <v>248593.12500000003</v>
      </c>
      <c r="G23" s="681">
        <f>F23+E23</f>
        <v>248593.12500000003</v>
      </c>
      <c r="H23" s="681">
        <f>(D23*SUM('eC&amp;R-DCC Process Workings'!O$7,'eC&amp;R-DCC System Workings'!O$7))+(NPC_TierA!$H11)</f>
        <v>1516525</v>
      </c>
      <c r="I23" s="681"/>
      <c r="J23" s="681">
        <f>IF(NPC_Results!$I$7="Spackman",((($H23/Annuity_Factor)+$G23)/((1+Disc_Rate)^(NPC_Results!M$14-1))),($G23/((1+Disc_Rate)^(NPC_Results!M$14-1))))</f>
        <v>474600.07034633221</v>
      </c>
      <c r="K23" s="681">
        <f>IF(NPC_Results!$I$7="Spackman",((($H23/Annuity_Factor)+$G23)/((1+Disc_Rate)^(NPC_Results!N$14-1))),($G23/((1+Disc_Rate)^(NPC_Results!N$14-1))))</f>
        <v>458550.79260515195</v>
      </c>
      <c r="L23" s="681">
        <f>IF(NPC_Results!$I$7="Spackman",((($H23/Annuity_Factor)+$G23)/((1+Disc_Rate)^(NPC_Results!O$14-1))),($G23/((1+Disc_Rate)^(NPC_Results!O$14-1))))</f>
        <v>443044.24406294874</v>
      </c>
      <c r="M23" s="681">
        <f>IF(NPC_Results!$I$7="Spackman",((($H23/Annuity_Factor)+$G23)/((1+Disc_Rate)^(NPC_Results!P$14-1))),($G23/((1+Disc_Rate)^(NPC_Results!P$14-1))))</f>
        <v>428062.07155840466</v>
      </c>
      <c r="N23" s="681">
        <f>IF(NPC_Results!$I$7="Spackman",((($H23/Annuity_Factor)+$G23)/((1+Disc_Rate)^(NPC_Results!Q$14-1))),($G23/((1+Disc_Rate)^(NPC_Results!Q$14-1))))</f>
        <v>413586.54256850691</v>
      </c>
      <c r="O23" s="681">
        <f>IF(NPC_Results!$I$7="Spackman",((($H23/Annuity_Factor)+$G23)/((1+Disc_Rate)^(NPC_Results!R$14-1))),($G23/((1+Disc_Rate)^(NPC_Results!R$14-1))))</f>
        <v>399600.52422077965</v>
      </c>
      <c r="P23" s="681">
        <f>IF(NPC_Results!$I$7="Spackman",((($H23/Annuity_Factor)+$G23)/((1+Disc_Rate)^(NPC_Results!S$14-1))),($G23/((1+Disc_Rate)^(NPC_Results!S$14-1))))</f>
        <v>386087.46301524603</v>
      </c>
      <c r="Q23" s="681">
        <f>IF(NPC_Results!$I$7="Spackman",((($H23/Annuity_Factor)+$G23)/((1+Disc_Rate)^(NPC_Results!T$14-1))),($G23/((1+Disc_Rate)^(NPC_Results!T$14-1))))</f>
        <v>373031.36523212184</v>
      </c>
      <c r="R23" s="681">
        <f>IF(NPC_Results!$I$7="Spackman",((($H23/Annuity_Factor)+$G23)/((1+Disc_Rate)^(NPC_Results!U$14-1))),($G23/((1+Disc_Rate)^(NPC_Results!U$14-1))))</f>
        <v>360416.77800205012</v>
      </c>
      <c r="S23" s="681">
        <f>IF(NPC_Results!$I$7="Spackman",((($H23/Annuity_Factor)+$G23)/((1+Disc_Rate)^(NPC_Results!V$14-1))),($G23/((1+Disc_Rate)^(NPC_Results!V$14-1))))</f>
        <v>348228.77101647359</v>
      </c>
      <c r="T23" s="681"/>
      <c r="U23" s="681">
        <f>IF(NPC_Results!$I$7="Spackman", (SUM(J23:S23)), ($H23+SUM(J23:S23)))</f>
        <v>4085208.6226280159</v>
      </c>
      <c r="V23" s="684"/>
      <c r="W23" s="685"/>
      <c r="X23" s="696"/>
      <c r="Y23" s="143"/>
      <c r="Z23" s="143"/>
      <c r="AI23" s="143"/>
      <c r="AJ23" s="143"/>
      <c r="AL23" s="143"/>
      <c r="AM23" s="143"/>
    </row>
    <row r="24" spans="1:42" s="262" customFormat="1" ht="15.75" thickTop="1" x14ac:dyDescent="0.25">
      <c r="A24" s="263"/>
      <c r="B24" s="263"/>
      <c r="C24" s="24" t="s">
        <v>491</v>
      </c>
      <c r="D24" s="24"/>
      <c r="E24" s="24"/>
      <c r="F24" s="677">
        <f>SUM(F22:F23)</f>
        <v>372628.94722222228</v>
      </c>
      <c r="G24" s="677">
        <f>SUM(G22:G23)</f>
        <v>372628.94722222228</v>
      </c>
      <c r="H24" s="677">
        <f t="shared" ref="H24" si="13">SUM(H22:H23)</f>
        <v>2136704.111111111</v>
      </c>
      <c r="I24" s="677"/>
      <c r="J24" s="677">
        <f t="shared" ref="J24" si="14">SUM(J22:J23)</f>
        <v>691060.86839805008</v>
      </c>
      <c r="K24" s="677">
        <f t="shared" ref="K24" si="15">SUM(K22:K23)</f>
        <v>667691.66028797114</v>
      </c>
      <c r="L24" s="677">
        <f t="shared" ref="L24" si="16">SUM(L22:L23)</f>
        <v>645112.71525407839</v>
      </c>
      <c r="M24" s="677">
        <f t="shared" ref="M24" si="17">SUM(M22:M23)</f>
        <v>623297.30942423036</v>
      </c>
      <c r="N24" s="677">
        <f t="shared" ref="N24" si="18">SUM(N22:N23)</f>
        <v>602219.62263210665</v>
      </c>
      <c r="O24" s="677">
        <f t="shared" ref="O24" si="19">SUM(O22:O23)</f>
        <v>581854.70785710798</v>
      </c>
      <c r="P24" s="677">
        <f t="shared" ref="P24" si="20">SUM(P22:P23)</f>
        <v>562178.46169768879</v>
      </c>
      <c r="Q24" s="677">
        <f t="shared" ref="Q24" si="21">SUM(Q22:Q23)</f>
        <v>543167.59584317775</v>
      </c>
      <c r="R24" s="677">
        <f t="shared" ref="R24" si="22">SUM(R22:R23)</f>
        <v>524799.60951031675</v>
      </c>
      <c r="S24" s="677">
        <f t="shared" ref="S24" si="23">SUM(S22:S23)</f>
        <v>507052.76281190023</v>
      </c>
      <c r="T24" s="677"/>
      <c r="U24" s="677">
        <f t="shared" ref="U24" si="24">SUM(U22:U23)</f>
        <v>5948435.3137166277</v>
      </c>
      <c r="V24" s="684"/>
      <c r="W24" s="685"/>
      <c r="X24" s="696"/>
      <c r="Y24" s="270"/>
      <c r="Z24" s="270"/>
      <c r="AI24" s="270"/>
      <c r="AJ24" s="270"/>
      <c r="AL24" s="270"/>
      <c r="AM24" s="270"/>
    </row>
    <row r="25" spans="1:42" s="262" customFormat="1" x14ac:dyDescent="0.25">
      <c r="A25" s="263"/>
      <c r="B25" s="263"/>
      <c r="C25" s="24"/>
      <c r="D25" s="24"/>
      <c r="E25" s="24"/>
      <c r="F25" s="677"/>
      <c r="G25" s="677"/>
      <c r="H25" s="677"/>
      <c r="I25" s="677"/>
      <c r="J25" s="677"/>
      <c r="K25" s="677"/>
      <c r="L25" s="677"/>
      <c r="M25" s="677"/>
      <c r="N25" s="677"/>
      <c r="O25" s="677"/>
      <c r="P25" s="677"/>
      <c r="Q25" s="677"/>
      <c r="R25" s="677"/>
      <c r="S25" s="677"/>
      <c r="T25" s="677"/>
      <c r="U25" s="677"/>
      <c r="V25" s="684"/>
      <c r="W25" s="685"/>
      <c r="X25" s="293"/>
      <c r="Y25" s="270"/>
      <c r="Z25" s="270"/>
      <c r="AI25" s="270"/>
      <c r="AJ25" s="270"/>
      <c r="AL25" s="270"/>
      <c r="AM25" s="270"/>
    </row>
    <row r="26" spans="1:42" x14ac:dyDescent="0.25">
      <c r="A26" s="263"/>
      <c r="B26" s="263"/>
      <c r="C26" s="38" t="s">
        <v>176</v>
      </c>
      <c r="D26" s="38"/>
      <c r="E26" s="38"/>
      <c r="F26" s="683"/>
      <c r="G26" s="683"/>
      <c r="H26" s="683"/>
      <c r="I26" s="683"/>
      <c r="J26" s="683"/>
      <c r="K26" s="683"/>
      <c r="L26" s="683"/>
      <c r="M26" s="683"/>
      <c r="N26" s="683"/>
      <c r="O26" s="683"/>
      <c r="P26" s="683"/>
      <c r="Q26" s="683"/>
      <c r="R26" s="683"/>
      <c r="S26" s="683"/>
      <c r="T26" s="683"/>
      <c r="U26" s="683"/>
      <c r="V26" s="263"/>
      <c r="W26" s="685"/>
      <c r="X26" s="293"/>
    </row>
    <row r="27" spans="1:42" x14ac:dyDescent="0.25">
      <c r="A27" s="263"/>
      <c r="B27" s="263"/>
      <c r="C27" s="263"/>
      <c r="D27" s="263"/>
      <c r="E27" s="263"/>
      <c r="F27" s="677"/>
      <c r="G27" s="677"/>
      <c r="H27" s="677"/>
      <c r="I27" s="677"/>
      <c r="J27" s="677"/>
      <c r="K27" s="677"/>
      <c r="L27" s="677"/>
      <c r="M27" s="677"/>
      <c r="N27" s="677"/>
      <c r="O27" s="677"/>
      <c r="P27" s="677"/>
      <c r="Q27" s="677"/>
      <c r="R27" s="677"/>
      <c r="S27" s="677"/>
      <c r="T27" s="677"/>
      <c r="U27" s="677"/>
      <c r="V27" s="263"/>
      <c r="W27" s="685"/>
      <c r="X27" s="293"/>
    </row>
    <row r="28" spans="1:42" x14ac:dyDescent="0.25">
      <c r="A28" s="263"/>
      <c r="B28" s="263"/>
      <c r="C28" s="24" t="s">
        <v>81</v>
      </c>
      <c r="D28" s="24">
        <f>Inputs_General!$G$11</f>
        <v>50</v>
      </c>
      <c r="E28" s="24"/>
      <c r="F28" s="677">
        <f>(D28*SUM('GPL-EMP Process Workings'!N$8,'GPL-EMP System Workings'!N$8))+(NPC_TierA!$F10)</f>
        <v>105316.71111111113</v>
      </c>
      <c r="G28" s="677">
        <f>F28+E28</f>
        <v>105316.71111111113</v>
      </c>
      <c r="H28" s="677">
        <f>(D28*SUM('GPL-EMP Process Workings'!N$7,'GPL-EMP System Workings'!N$7))+(NPC_TierA!$H10)</f>
        <v>526583.55555555562</v>
      </c>
      <c r="I28" s="677"/>
      <c r="J28" s="677">
        <f>IF(NPC_Results!$I$7="Spackman",((($H28/Annuity_Factor)+$G28)/((1+Disc_Rate)^(NPC_Results!M$14-1))),($G28/((1+Disc_Rate)^(NPC_Results!M$14-1))))</f>
        <v>183793.18915184354</v>
      </c>
      <c r="K28" s="677">
        <f>IF(NPC_Results!$I$7="Spackman",((($H28/Annuity_Factor)+$G28)/((1+Disc_Rate)^(NPC_Results!N$14-1))),($G28/((1+Disc_Rate)^(NPC_Results!N$14-1))))</f>
        <v>177577.96053318219</v>
      </c>
      <c r="L28" s="677">
        <f>IF(NPC_Results!$I$7="Spackman",((($H28/Annuity_Factor)+$G28)/((1+Disc_Rate)^(NPC_Results!O$14-1))),($G28/((1+Disc_Rate)^(NPC_Results!O$14-1))))</f>
        <v>171572.90872771226</v>
      </c>
      <c r="M28" s="677">
        <f>IF(NPC_Results!$I$7="Spackman",((($H28/Annuity_Factor)+$G28)/((1+Disc_Rate)^(NPC_Results!P$14-1))),($G28/((1+Disc_Rate)^(NPC_Results!P$14-1))))</f>
        <v>165770.92630696838</v>
      </c>
      <c r="N28" s="677">
        <f>IF(NPC_Results!$I$7="Spackman",((($H28/Annuity_Factor)+$G28)/((1+Disc_Rate)^(NPC_Results!Q$14-1))),($G28/((1+Disc_Rate)^(NPC_Results!Q$14-1))))</f>
        <v>160165.14619030763</v>
      </c>
      <c r="O28" s="677">
        <f>IF(NPC_Results!$I$7="Spackman",((($H28/Annuity_Factor)+$G28)/((1+Disc_Rate)^(NPC_Results!R$14-1))),($G28/((1+Disc_Rate)^(NPC_Results!R$14-1))))</f>
        <v>154748.93351720547</v>
      </c>
      <c r="P28" s="677">
        <f>IF(NPC_Results!$I$7="Spackman",((($H28/Annuity_Factor)+$G28)/((1+Disc_Rate)^(NPC_Results!S$14-1))),($G28/((1+Disc_Rate)^(NPC_Results!S$14-1))))</f>
        <v>149515.8777944014</v>
      </c>
      <c r="Q28" s="677">
        <f>IF(NPC_Results!$I$7="Spackman",((($H28/Annuity_Factor)+$G28)/((1+Disc_Rate)^(NPC_Results!T$14-1))),($G28/((1+Disc_Rate)^(NPC_Results!T$14-1))))</f>
        <v>144459.7853086004</v>
      </c>
      <c r="R28" s="677">
        <f>IF(NPC_Results!$I$7="Spackman",((($H28/Annuity_Factor)+$G28)/((1+Disc_Rate)^(NPC_Results!U$14-1))),($G28/((1+Disc_Rate)^(NPC_Results!U$14-1))))</f>
        <v>139574.67179574919</v>
      </c>
      <c r="S28" s="677">
        <f>IF(NPC_Results!$I$7="Spackman",((($H28/Annuity_Factor)+$G28)/((1+Disc_Rate)^(NPC_Results!V$14-1))),($G28/((1+Disc_Rate)^(NPC_Results!V$14-1))))</f>
        <v>134854.75535821181</v>
      </c>
      <c r="T28" s="677"/>
      <c r="U28" s="677">
        <f>IF(NPC_Results!$I$7="Spackman", (SUM(J28:S28)), ($H28+SUM(J28:S28)))</f>
        <v>1582034.1546841823</v>
      </c>
      <c r="V28" s="263"/>
      <c r="W28" s="685"/>
      <c r="X28" s="696"/>
    </row>
    <row r="29" spans="1:42" ht="15.75" thickBot="1" x14ac:dyDescent="0.3">
      <c r="A29" s="263"/>
      <c r="B29" s="263"/>
      <c r="C29" s="290" t="s">
        <v>90</v>
      </c>
      <c r="D29" s="290">
        <f>Inputs_General!$G$14</f>
        <v>5</v>
      </c>
      <c r="E29" s="290"/>
      <c r="F29" s="681">
        <f>(D29*SUM('GPL-EMP Process Workings'!O$8,'GPL-EMP System Workings'!O$8))+(NPC_TierA!$F11)</f>
        <v>180757.5</v>
      </c>
      <c r="G29" s="681">
        <f>F29+E29</f>
        <v>180757.5</v>
      </c>
      <c r="H29" s="681">
        <f>(D29*SUM('GPL-EMP Process Workings'!O$7,'GPL-EMP System Workings'!O$7))+(NPC_TierA!$H11)</f>
        <v>1044037.5</v>
      </c>
      <c r="I29" s="681"/>
      <c r="J29" s="681">
        <f>IF(NPC_Results!$I$7="Spackman",((($H29/Annuity_Factor)+$G29)/((1+Disc_Rate)^(NPC_Results!M$14-1))),($G29/((1+Disc_Rate)^(NPC_Results!M$14-1))))</f>
        <v>336349.87480557279</v>
      </c>
      <c r="K29" s="681">
        <f>IF(NPC_Results!$I$7="Spackman",((($H29/Annuity_Factor)+$G29)/((1+Disc_Rate)^(NPC_Results!N$14-1))),($G29/((1+Disc_Rate)^(NPC_Results!N$14-1))))</f>
        <v>324975.72444982879</v>
      </c>
      <c r="L29" s="681">
        <f>IF(NPC_Results!$I$7="Spackman",((($H29/Annuity_Factor)+$G29)/((1+Disc_Rate)^(NPC_Results!O$14-1))),($G29/((1+Disc_Rate)^(NPC_Results!O$14-1))))</f>
        <v>313986.20719790226</v>
      </c>
      <c r="M29" s="681">
        <f>IF(NPC_Results!$I$7="Spackman",((($H29/Annuity_Factor)+$G29)/((1+Disc_Rate)^(NPC_Results!P$14-1))),($G29/((1+Disc_Rate)^(NPC_Results!P$14-1))))</f>
        <v>303368.3161332389</v>
      </c>
      <c r="N29" s="681">
        <f>IF(NPC_Results!$I$7="Spackman",((($H29/Annuity_Factor)+$G29)/((1+Disc_Rate)^(NPC_Results!Q$14-1))),($G29/((1+Disc_Rate)^(NPC_Results!Q$14-1))))</f>
        <v>293109.48418670427</v>
      </c>
      <c r="O29" s="681">
        <f>IF(NPC_Results!$I$7="Spackman",((($H29/Annuity_Factor)+$G29)/((1+Disc_Rate)^(NPC_Results!R$14-1))),($G29/((1+Disc_Rate)^(NPC_Results!R$14-1))))</f>
        <v>283197.56926251628</v>
      </c>
      <c r="P29" s="681">
        <f>IF(NPC_Results!$I$7="Spackman",((($H29/Annuity_Factor)+$G29)/((1+Disc_Rate)^(NPC_Results!S$14-1))),($G29/((1+Disc_Rate)^(NPC_Results!S$14-1))))</f>
        <v>273620.83986716543</v>
      </c>
      <c r="Q29" s="681">
        <f>IF(NPC_Results!$I$7="Spackman",((($H29/Annuity_Factor)+$G29)/((1+Disc_Rate)^(NPC_Results!T$14-1))),($G29/((1+Disc_Rate)^(NPC_Results!T$14-1))))</f>
        <v>264367.96122431447</v>
      </c>
      <c r="R29" s="681">
        <f>IF(NPC_Results!$I$7="Spackman",((($H29/Annuity_Factor)+$G29)/((1+Disc_Rate)^(NPC_Results!U$14-1))),($G29/((1+Disc_Rate)^(NPC_Results!U$14-1))))</f>
        <v>255427.98185924109</v>
      </c>
      <c r="S29" s="681">
        <f>IF(NPC_Results!$I$7="Spackman",((($H29/Annuity_Factor)+$G29)/((1+Disc_Rate)^(NPC_Results!V$14-1))),($G29/((1+Disc_Rate)^(NPC_Results!V$14-1))))</f>
        <v>246790.32063694793</v>
      </c>
      <c r="T29" s="681"/>
      <c r="U29" s="681">
        <f>IF(NPC_Results!$I$7="Spackman", (SUM(J29:S29)), ($H29+SUM(J29:S29)))</f>
        <v>2895194.2796234321</v>
      </c>
      <c r="W29" s="685"/>
      <c r="X29" s="696"/>
    </row>
    <row r="30" spans="1:42" s="262" customFormat="1" ht="15.75" thickTop="1" x14ac:dyDescent="0.25">
      <c r="A30" s="263"/>
      <c r="B30" s="263"/>
      <c r="C30" s="24" t="s">
        <v>491</v>
      </c>
      <c r="D30" s="24"/>
      <c r="E30" s="24"/>
      <c r="F30" s="677">
        <f>SUM(F28:F29)</f>
        <v>286074.2111111111</v>
      </c>
      <c r="G30" s="677">
        <f>SUM(G28:G29)</f>
        <v>286074.2111111111</v>
      </c>
      <c r="H30" s="677">
        <f t="shared" ref="H30" si="25">SUM(H28:H29)</f>
        <v>1570621.0555555555</v>
      </c>
      <c r="I30" s="677"/>
      <c r="J30" s="677">
        <f t="shared" ref="J30" si="26">SUM(J28:J29)</f>
        <v>520143.06395741634</v>
      </c>
      <c r="K30" s="677">
        <f t="shared" ref="K30" si="27">SUM(K28:K29)</f>
        <v>502553.68498301099</v>
      </c>
      <c r="L30" s="677">
        <f t="shared" ref="L30" si="28">SUM(L28:L29)</f>
        <v>485559.11592561449</v>
      </c>
      <c r="M30" s="677">
        <f t="shared" ref="M30" si="29">SUM(M28:M29)</f>
        <v>469139.24244020728</v>
      </c>
      <c r="N30" s="677">
        <f t="shared" ref="N30" si="30">SUM(N28:N29)</f>
        <v>453274.6303770119</v>
      </c>
      <c r="O30" s="677">
        <f t="shared" ref="O30" si="31">SUM(O28:O29)</f>
        <v>437946.50277972175</v>
      </c>
      <c r="P30" s="677">
        <f t="shared" ref="P30" si="32">SUM(P28:P29)</f>
        <v>423136.7176615668</v>
      </c>
      <c r="Q30" s="677">
        <f t="shared" ref="Q30" si="33">SUM(Q28:Q29)</f>
        <v>408827.74653291487</v>
      </c>
      <c r="R30" s="677">
        <f t="shared" ref="R30" si="34">SUM(R28:R29)</f>
        <v>395002.65365499025</v>
      </c>
      <c r="S30" s="677">
        <f t="shared" ref="S30" si="35">SUM(S28:S29)</f>
        <v>381645.07599515974</v>
      </c>
      <c r="T30" s="677"/>
      <c r="U30" s="677">
        <f t="shared" ref="U30" si="36">SUM(U28:U29)</f>
        <v>4477228.4343076143</v>
      </c>
      <c r="V30" s="263"/>
      <c r="W30" s="685"/>
      <c r="X30" s="696"/>
    </row>
    <row r="31" spans="1:42" x14ac:dyDescent="0.25">
      <c r="A31" s="263"/>
      <c r="B31" s="263"/>
      <c r="C31" s="263"/>
      <c r="D31" s="263"/>
      <c r="E31" s="263"/>
      <c r="F31" s="677"/>
      <c r="G31" s="677"/>
      <c r="H31" s="677"/>
      <c r="I31" s="677"/>
      <c r="J31" s="677"/>
      <c r="K31" s="677"/>
      <c r="L31" s="677"/>
      <c r="M31" s="677"/>
      <c r="N31" s="677"/>
      <c r="O31" s="677"/>
      <c r="P31" s="677"/>
      <c r="Q31" s="677"/>
      <c r="R31" s="677"/>
      <c r="S31" s="677"/>
      <c r="T31" s="677"/>
      <c r="U31" s="677"/>
      <c r="V31" s="263"/>
      <c r="W31" s="685"/>
      <c r="X31" s="293"/>
    </row>
    <row r="32" spans="1:42" x14ac:dyDescent="0.25">
      <c r="A32" s="263"/>
      <c r="B32" s="263"/>
      <c r="C32" s="38" t="s">
        <v>177</v>
      </c>
      <c r="D32" s="38"/>
      <c r="E32" s="38"/>
      <c r="F32" s="683"/>
      <c r="G32" s="683"/>
      <c r="H32" s="683"/>
      <c r="I32" s="683"/>
      <c r="J32" s="683"/>
      <c r="K32" s="683"/>
      <c r="L32" s="683"/>
      <c r="M32" s="683"/>
      <c r="N32" s="683"/>
      <c r="O32" s="683"/>
      <c r="P32" s="683"/>
      <c r="Q32" s="683"/>
      <c r="R32" s="683"/>
      <c r="S32" s="683"/>
      <c r="T32" s="683"/>
      <c r="U32" s="683"/>
      <c r="V32" s="263"/>
      <c r="W32" s="685"/>
      <c r="X32" s="293"/>
    </row>
    <row r="33" spans="1:25" x14ac:dyDescent="0.25">
      <c r="A33" s="263"/>
      <c r="B33" s="263"/>
      <c r="C33" s="263"/>
      <c r="D33" s="263"/>
      <c r="E33" s="263"/>
      <c r="F33" s="677"/>
      <c r="G33" s="677"/>
      <c r="H33" s="677"/>
      <c r="I33" s="677"/>
      <c r="J33" s="677"/>
      <c r="K33" s="677"/>
      <c r="L33" s="677"/>
      <c r="M33" s="677"/>
      <c r="N33" s="677"/>
      <c r="O33" s="677"/>
      <c r="P33" s="677"/>
      <c r="Q33" s="677"/>
      <c r="R33" s="677"/>
      <c r="S33" s="677"/>
      <c r="T33" s="677"/>
      <c r="U33" s="677"/>
      <c r="V33" s="263"/>
      <c r="W33" s="685"/>
      <c r="X33" s="293"/>
    </row>
    <row r="34" spans="1:25" x14ac:dyDescent="0.25">
      <c r="A34" s="263"/>
      <c r="B34" s="263"/>
      <c r="C34" s="24" t="s">
        <v>81</v>
      </c>
      <c r="D34" s="24">
        <f>Inputs_General!$G$11</f>
        <v>50</v>
      </c>
      <c r="E34" s="24"/>
      <c r="F34" s="677">
        <f>(D34*SUM('GPL-DCC Process Workings'!N$8,'GPL-DCC System Workings'!N$8))+(NPC_TierA!$F10)</f>
        <v>119702.48888888888</v>
      </c>
      <c r="G34" s="677">
        <f>F34+E34</f>
        <v>119702.48888888888</v>
      </c>
      <c r="H34" s="677">
        <f>(D34*SUM('GPL-DCC Process Workings'!N$7,'GPL-DCC System Workings'!N$7))+(NPC_TierA!$H10)</f>
        <v>598512.4444444445</v>
      </c>
      <c r="I34" s="677"/>
      <c r="J34" s="677">
        <f>IF(NPC_Results!$I$7="Spackman",((($H34/Annuity_Factor)+$G34)/((1+Disc_Rate)^(NPC_Results!M$14-1))),($G34/((1+Disc_Rate)^(NPC_Results!M$14-1))))</f>
        <v>208898.49246328115</v>
      </c>
      <c r="K34" s="677">
        <f>IF(NPC_Results!$I$7="Spackman",((($H34/Annuity_Factor)+$G34)/((1+Disc_Rate)^(NPC_Results!N$14-1))),($G34/((1+Disc_Rate)^(NPC_Results!N$14-1))))</f>
        <v>201834.29223505425</v>
      </c>
      <c r="L34" s="677">
        <f>IF(NPC_Results!$I$7="Spackman",((($H34/Annuity_Factor)+$G34)/((1+Disc_Rate)^(NPC_Results!O$14-1))),($G34/((1+Disc_Rate)^(NPC_Results!O$14-1))))</f>
        <v>195008.97800488336</v>
      </c>
      <c r="M34" s="677">
        <f>IF(NPC_Results!$I$7="Spackman",((($H34/Annuity_Factor)+$G34)/((1+Disc_Rate)^(NPC_Results!P$14-1))),($G34/((1+Disc_Rate)^(NPC_Results!P$14-1))))</f>
        <v>188414.47150230277</v>
      </c>
      <c r="N34" s="677">
        <f>IF(NPC_Results!$I$7="Spackman",((($H34/Annuity_Factor)+$G34)/((1+Disc_Rate)^(NPC_Results!Q$14-1))),($G34/((1+Disc_Rate)^(NPC_Results!Q$14-1))))</f>
        <v>182042.96763507515</v>
      </c>
      <c r="O34" s="677">
        <f>IF(NPC_Results!$I$7="Spackman",((($H34/Annuity_Factor)+$G34)/((1+Disc_Rate)^(NPC_Results!R$14-1))),($G34/((1+Disc_Rate)^(NPC_Results!R$14-1))))</f>
        <v>175886.92525128037</v>
      </c>
      <c r="P34" s="677">
        <f>IF(NPC_Results!$I$7="Spackman",((($H34/Annuity_Factor)+$G34)/((1+Disc_Rate)^(NPC_Results!S$14-1))),($G34/((1+Disc_Rate)^(NPC_Results!S$14-1))))</f>
        <v>169939.05821379746</v>
      </c>
      <c r="Q34" s="677">
        <f>IF(NPC_Results!$I$7="Spackman",((($H34/Annuity_Factor)+$G34)/((1+Disc_Rate)^(NPC_Results!T$14-1))),($G34/((1+Disc_Rate)^(NPC_Results!T$14-1))))</f>
        <v>164192.3267766159</v>
      </c>
      <c r="R34" s="677">
        <f>IF(NPC_Results!$I$7="Spackman",((($H34/Annuity_Factor)+$G34)/((1+Disc_Rate)^(NPC_Results!U$14-1))),($G34/((1+Disc_Rate)^(NPC_Results!U$14-1))))</f>
        <v>158639.92925276901</v>
      </c>
      <c r="S34" s="677">
        <f>IF(NPC_Results!$I$7="Spackman",((($H34/Annuity_Factor)+$G34)/((1+Disc_Rate)^(NPC_Results!V$14-1))),($G34/((1+Disc_Rate)^(NPC_Results!V$14-1))))</f>
        <v>153275.29396402807</v>
      </c>
      <c r="T34" s="677"/>
      <c r="U34" s="677">
        <f>IF(NPC_Results!$I$7="Spackman", (SUM(J34:S34)), ($H34+SUM(J34:S34)))</f>
        <v>1798132.7352990876</v>
      </c>
      <c r="V34" s="263"/>
      <c r="W34" s="685"/>
      <c r="X34" s="696"/>
      <c r="Y34" s="140"/>
    </row>
    <row r="35" spans="1:25" ht="15.75" thickBot="1" x14ac:dyDescent="0.3">
      <c r="A35" s="263"/>
      <c r="B35" s="263"/>
      <c r="C35" s="290" t="s">
        <v>90</v>
      </c>
      <c r="D35" s="290">
        <f>Inputs_General!$G$14</f>
        <v>5</v>
      </c>
      <c r="E35" s="290"/>
      <c r="F35" s="681">
        <f>(D35*SUM('GPL-DCC Process Workings'!O$8,'GPL-DCC System Workings'!O$8))+(NPC_TierA!$F11)</f>
        <v>212623.12500000003</v>
      </c>
      <c r="G35" s="681">
        <f>F35+E35</f>
        <v>212623.12500000003</v>
      </c>
      <c r="H35" s="681">
        <f>(D35*SUM('GPL-DCC Process Workings'!O$7,'GPL-DCC System Workings'!O$7))+(NPC_TierA!$H11)</f>
        <v>1323475</v>
      </c>
      <c r="I35" s="681"/>
      <c r="J35" s="681">
        <f>IF(NPC_Results!$I$7="Spackman",((($H35/Annuity_Factor)+$G35)/((1+Disc_Rate)^(NPC_Results!M$14-1))),($G35/((1+Disc_Rate)^(NPC_Results!M$14-1))))</f>
        <v>409859.92755336186</v>
      </c>
      <c r="K35" s="681">
        <f>IF(NPC_Results!$I$7="Spackman",((($H35/Annuity_Factor)+$G35)/((1+Disc_Rate)^(NPC_Results!N$14-1))),($G35/((1+Disc_Rate)^(NPC_Results!N$14-1))))</f>
        <v>395999.93000324821</v>
      </c>
      <c r="L35" s="681">
        <f>IF(NPC_Results!$I$7="Spackman",((($H35/Annuity_Factor)+$G35)/((1+Disc_Rate)^(NPC_Results!O$14-1))),($G35/((1+Disc_Rate)^(NPC_Results!O$14-1))))</f>
        <v>382608.62802246207</v>
      </c>
      <c r="M35" s="681">
        <f>IF(NPC_Results!$I$7="Spackman",((($H35/Annuity_Factor)+$G35)/((1+Disc_Rate)^(NPC_Results!P$14-1))),($G35/((1+Disc_Rate)^(NPC_Results!P$14-1))))</f>
        <v>369670.17200237885</v>
      </c>
      <c r="N35" s="681">
        <f>IF(NPC_Results!$I$7="Spackman",((($H35/Annuity_Factor)+$G35)/((1+Disc_Rate)^(NPC_Results!Q$14-1))),($G35/((1+Disc_Rate)^(NPC_Results!Q$14-1))))</f>
        <v>357169.24831147713</v>
      </c>
      <c r="O35" s="681">
        <f>IF(NPC_Results!$I$7="Spackman",((($H35/Annuity_Factor)+$G35)/((1+Disc_Rate)^(NPC_Results!R$14-1))),($G35/((1+Disc_Rate)^(NPC_Results!R$14-1))))</f>
        <v>345091.06117050938</v>
      </c>
      <c r="P35" s="681">
        <f>IF(NPC_Results!$I$7="Spackman",((($H35/Annuity_Factor)+$G35)/((1+Disc_Rate)^(NPC_Results!S$14-1))),($G35/((1+Disc_Rate)^(NPC_Results!S$14-1))))</f>
        <v>333421.31514058873</v>
      </c>
      <c r="Q35" s="681">
        <f>IF(NPC_Results!$I$7="Spackman",((($H35/Annuity_Factor)+$G35)/((1+Disc_Rate)^(NPC_Results!T$14-1))),($G35/((1+Disc_Rate)^(NPC_Results!T$14-1))))</f>
        <v>322146.19820346741</v>
      </c>
      <c r="R35" s="681">
        <f>IF(NPC_Results!$I$7="Spackman",((($H35/Annuity_Factor)+$G35)/((1+Disc_Rate)^(NPC_Results!U$14-1))),($G35/((1+Disc_Rate)^(NPC_Results!U$14-1))))</f>
        <v>311252.36541397823</v>
      </c>
      <c r="S35" s="681">
        <f>IF(NPC_Results!$I$7="Spackman",((($H35/Annuity_Factor)+$G35)/((1+Disc_Rate)^(NPC_Results!V$14-1))),($G35/((1+Disc_Rate)^(NPC_Results!V$14-1))))</f>
        <v>300726.92310529301</v>
      </c>
      <c r="T35" s="681"/>
      <c r="U35" s="681">
        <f>IF(NPC_Results!$I$7="Spackman", (SUM(J35:S35)), ($H35+SUM(J35:S35)))</f>
        <v>3527945.7689267648</v>
      </c>
      <c r="V35" s="263"/>
      <c r="W35" s="685"/>
      <c r="X35" s="696"/>
      <c r="Y35" s="140"/>
    </row>
    <row r="36" spans="1:25" ht="15.75" thickTop="1" x14ac:dyDescent="0.25">
      <c r="A36" s="263"/>
      <c r="B36" s="263"/>
      <c r="C36" s="24" t="s">
        <v>491</v>
      </c>
      <c r="D36" s="24"/>
      <c r="E36" s="24"/>
      <c r="F36" s="677">
        <f>SUM(F34:F35)</f>
        <v>332325.61388888891</v>
      </c>
      <c r="G36" s="677">
        <f>SUM(G34:G35)</f>
        <v>332325.61388888891</v>
      </c>
      <c r="H36" s="677">
        <f t="shared" ref="H36" si="37">SUM(H34:H35)</f>
        <v>1921987.4444444445</v>
      </c>
      <c r="I36" s="677"/>
      <c r="J36" s="677">
        <f t="shared" ref="J36" si="38">SUM(J34:J35)</f>
        <v>618758.42001664301</v>
      </c>
      <c r="K36" s="677">
        <f t="shared" ref="K36" si="39">SUM(K34:K35)</f>
        <v>597834.22223830246</v>
      </c>
      <c r="L36" s="677">
        <f t="shared" ref="L36" si="40">SUM(L34:L35)</f>
        <v>577617.60602734541</v>
      </c>
      <c r="M36" s="677">
        <f t="shared" ref="M36" si="41">SUM(M34:M35)</f>
        <v>558084.64350468165</v>
      </c>
      <c r="N36" s="677">
        <f t="shared" ref="N36" si="42">SUM(N34:N35)</f>
        <v>539212.21594655234</v>
      </c>
      <c r="O36" s="677">
        <f t="shared" ref="O36" si="43">SUM(O34:O35)</f>
        <v>520977.98642178974</v>
      </c>
      <c r="P36" s="677">
        <f t="shared" ref="P36" si="44">SUM(P34:P35)</f>
        <v>503360.37335438619</v>
      </c>
      <c r="Q36" s="677">
        <f t="shared" ref="Q36" si="45">SUM(Q34:Q35)</f>
        <v>486338.52498008334</v>
      </c>
      <c r="R36" s="677">
        <f t="shared" ref="R36" si="46">SUM(R34:R35)</f>
        <v>469892.29466674721</v>
      </c>
      <c r="S36" s="677">
        <f t="shared" ref="S36" si="47">SUM(S34:S35)</f>
        <v>454002.21706932108</v>
      </c>
      <c r="T36" s="677"/>
      <c r="U36" s="677">
        <f t="shared" ref="U36" si="48">SUM(U34:U35)</f>
        <v>5326078.504225852</v>
      </c>
      <c r="V36" s="263"/>
      <c r="W36" s="685"/>
      <c r="X36" s="696"/>
    </row>
    <row r="37" spans="1:25" x14ac:dyDescent="0.25">
      <c r="A37" s="263"/>
      <c r="B37" s="263"/>
      <c r="C37" s="263"/>
      <c r="D37" s="263"/>
      <c r="E37" s="263"/>
      <c r="F37" s="263"/>
      <c r="G37" s="263"/>
      <c r="H37" s="491"/>
      <c r="I37" s="263"/>
      <c r="J37" s="263"/>
      <c r="K37" s="263"/>
      <c r="L37" s="263"/>
      <c r="M37" s="263"/>
      <c r="N37" s="263"/>
      <c r="O37" s="263"/>
      <c r="P37" s="263"/>
      <c r="Q37" s="263"/>
      <c r="R37" s="263"/>
      <c r="S37" s="263"/>
      <c r="T37" s="263"/>
      <c r="U37" s="263"/>
      <c r="V37" s="263"/>
    </row>
    <row r="38" spans="1:25" x14ac:dyDescent="0.25">
      <c r="A38" s="263"/>
      <c r="B38" s="263"/>
      <c r="C38" s="263"/>
      <c r="D38" s="263"/>
      <c r="E38" s="263"/>
      <c r="F38" s="677"/>
      <c r="H38" s="677"/>
      <c r="I38" s="263"/>
      <c r="J38" s="263"/>
      <c r="K38" s="263"/>
      <c r="L38" s="263"/>
      <c r="M38" s="263"/>
      <c r="N38" s="263"/>
      <c r="O38" s="263"/>
      <c r="P38" s="263"/>
      <c r="Q38" s="263"/>
      <c r="R38" s="263"/>
      <c r="S38" s="263"/>
      <c r="T38" s="263"/>
      <c r="U38" s="263"/>
      <c r="V38" s="677"/>
    </row>
    <row r="39" spans="1:25" x14ac:dyDescent="0.25">
      <c r="A39" s="263"/>
      <c r="B39" s="263"/>
      <c r="C39" s="263"/>
      <c r="D39" s="263"/>
      <c r="E39" s="263"/>
      <c r="F39" s="677"/>
      <c r="G39" s="677"/>
      <c r="I39" s="677"/>
      <c r="J39" s="677"/>
      <c r="K39" s="677"/>
      <c r="L39" s="677"/>
      <c r="M39" s="677"/>
      <c r="N39" s="677"/>
      <c r="O39" s="677"/>
      <c r="P39" s="677"/>
      <c r="Q39" s="677"/>
      <c r="R39" s="677"/>
      <c r="S39" s="677"/>
      <c r="T39" s="677"/>
      <c r="U39" s="677"/>
      <c r="V39" s="263"/>
    </row>
    <row r="40" spans="1:25" x14ac:dyDescent="0.25">
      <c r="A40" s="263"/>
      <c r="B40" s="263"/>
      <c r="C40" s="263"/>
      <c r="D40" s="263"/>
      <c r="E40" s="263"/>
      <c r="F40" s="677"/>
      <c r="G40" s="677"/>
      <c r="H40" s="677"/>
      <c r="I40" s="677"/>
      <c r="J40" s="677"/>
      <c r="K40" s="677"/>
      <c r="L40" s="677"/>
      <c r="M40" s="677"/>
      <c r="N40" s="677"/>
      <c r="O40" s="677"/>
      <c r="P40" s="677"/>
      <c r="Q40" s="677"/>
      <c r="R40" s="677"/>
      <c r="S40" s="677"/>
      <c r="T40" s="677"/>
      <c r="U40" s="677"/>
      <c r="V40" s="263"/>
    </row>
    <row r="41" spans="1:25" x14ac:dyDescent="0.25">
      <c r="A41" s="263"/>
      <c r="B41" s="263"/>
      <c r="C41" s="263"/>
      <c r="D41" s="263"/>
      <c r="E41" s="263"/>
      <c r="F41" s="677"/>
      <c r="G41" s="677"/>
      <c r="H41" s="677"/>
      <c r="I41" s="677"/>
      <c r="J41" s="677"/>
      <c r="K41" s="677"/>
      <c r="L41" s="677"/>
      <c r="M41" s="677"/>
      <c r="N41" s="677"/>
      <c r="O41" s="677"/>
      <c r="P41" s="677"/>
      <c r="Q41" s="677"/>
      <c r="R41" s="677"/>
      <c r="S41" s="677"/>
      <c r="T41" s="677"/>
      <c r="U41" s="677"/>
      <c r="V41" s="263"/>
    </row>
    <row r="42" spans="1:25" x14ac:dyDescent="0.25">
      <c r="C42" s="262"/>
      <c r="D42" s="262"/>
      <c r="F42" s="271"/>
      <c r="G42" s="271"/>
      <c r="H42" s="271"/>
      <c r="I42" s="271"/>
      <c r="J42" s="271"/>
      <c r="K42" s="271"/>
      <c r="L42" s="271"/>
      <c r="M42" s="271"/>
      <c r="N42" s="271"/>
      <c r="O42" s="271"/>
      <c r="P42" s="271"/>
      <c r="Q42" s="271"/>
      <c r="R42" s="271"/>
      <c r="S42" s="271"/>
      <c r="T42" s="271"/>
      <c r="U42" s="271"/>
    </row>
    <row r="43" spans="1:25" x14ac:dyDescent="0.25">
      <c r="C43" s="262"/>
      <c r="D43" s="262"/>
      <c r="F43" s="271"/>
      <c r="G43" s="271"/>
      <c r="H43" s="271"/>
      <c r="I43" s="271"/>
      <c r="J43" s="271"/>
      <c r="K43" s="271"/>
      <c r="L43" s="271"/>
      <c r="M43" s="271"/>
      <c r="N43" s="271"/>
      <c r="O43" s="271"/>
      <c r="P43" s="271"/>
      <c r="Q43" s="271"/>
      <c r="R43" s="271"/>
      <c r="S43" s="271"/>
      <c r="T43" s="271"/>
      <c r="U43" s="271"/>
    </row>
    <row r="44" spans="1:25" x14ac:dyDescent="0.25">
      <c r="C44" s="262"/>
      <c r="D44" s="262"/>
      <c r="F44" s="271"/>
      <c r="G44" s="271"/>
      <c r="H44" s="271"/>
      <c r="I44" s="271"/>
      <c r="J44" s="271"/>
      <c r="K44" s="271"/>
      <c r="L44" s="271"/>
      <c r="M44" s="271"/>
      <c r="N44" s="271"/>
      <c r="O44" s="271"/>
      <c r="P44" s="271"/>
      <c r="Q44" s="271"/>
      <c r="R44" s="271"/>
      <c r="S44" s="271"/>
      <c r="T44" s="271"/>
      <c r="U44" s="271"/>
    </row>
    <row r="45" spans="1:25" x14ac:dyDescent="0.25">
      <c r="C45" s="262"/>
      <c r="D45" s="262"/>
      <c r="F45" s="271"/>
      <c r="G45" s="271"/>
      <c r="H45" s="271"/>
      <c r="I45" s="271"/>
      <c r="J45" s="685"/>
      <c r="K45" s="685"/>
      <c r="L45" s="685"/>
      <c r="M45" s="271"/>
      <c r="N45" s="271"/>
      <c r="O45" s="271"/>
      <c r="P45" s="271"/>
      <c r="Q45" s="271"/>
      <c r="R45" s="271"/>
      <c r="S45" s="271"/>
      <c r="T45" s="271"/>
      <c r="U45" s="271"/>
    </row>
    <row r="46" spans="1:25" x14ac:dyDescent="0.25">
      <c r="C46" s="262"/>
      <c r="D46" s="262"/>
      <c r="F46" s="271"/>
      <c r="G46" s="271"/>
      <c r="H46" s="271"/>
      <c r="I46" s="271"/>
      <c r="J46" s="685"/>
      <c r="K46" s="685"/>
      <c r="L46" s="685"/>
      <c r="M46" s="271"/>
      <c r="N46" s="271"/>
      <c r="O46" s="271"/>
      <c r="P46" s="271"/>
      <c r="Q46" s="271"/>
      <c r="R46" s="271"/>
      <c r="S46" s="271"/>
      <c r="T46" s="271"/>
      <c r="U46" s="271"/>
    </row>
    <row r="47" spans="1:25" x14ac:dyDescent="0.25">
      <c r="C47" s="262"/>
      <c r="D47" s="262"/>
      <c r="F47" s="271"/>
      <c r="G47" s="271"/>
      <c r="H47" s="271"/>
      <c r="I47" s="271"/>
      <c r="J47" s="685"/>
      <c r="K47" s="685"/>
      <c r="L47" s="685"/>
      <c r="M47" s="271"/>
      <c r="N47" s="271"/>
      <c r="O47" s="271"/>
      <c r="P47" s="271"/>
      <c r="Q47" s="271"/>
      <c r="R47" s="271"/>
      <c r="S47" s="271"/>
      <c r="T47" s="271"/>
      <c r="U47" s="271"/>
    </row>
    <row r="48" spans="1:25" x14ac:dyDescent="0.25">
      <c r="C48" s="262"/>
      <c r="D48" s="262"/>
      <c r="F48" s="271"/>
      <c r="G48" s="271"/>
      <c r="H48" s="271"/>
      <c r="I48" s="271"/>
      <c r="J48" s="685"/>
      <c r="K48" s="685"/>
      <c r="L48" s="685"/>
      <c r="M48" s="271"/>
      <c r="N48" s="271"/>
      <c r="O48" s="271"/>
      <c r="P48" s="271"/>
      <c r="Q48" s="271"/>
      <c r="R48" s="271"/>
      <c r="S48" s="271"/>
      <c r="T48" s="271"/>
      <c r="U48" s="271"/>
    </row>
    <row r="49" spans="3:21" x14ac:dyDescent="0.25">
      <c r="C49" s="262"/>
      <c r="D49" s="262"/>
      <c r="F49" s="271"/>
      <c r="G49" s="271"/>
      <c r="H49" s="271"/>
      <c r="I49" s="271"/>
      <c r="J49" s="685"/>
      <c r="K49" s="685"/>
      <c r="L49" s="685"/>
      <c r="M49" s="271"/>
      <c r="N49" s="271"/>
      <c r="O49" s="271"/>
      <c r="P49" s="271"/>
      <c r="Q49" s="271"/>
      <c r="R49" s="271"/>
      <c r="S49" s="271"/>
      <c r="T49" s="271"/>
      <c r="U49" s="271"/>
    </row>
    <row r="50" spans="3:21" x14ac:dyDescent="0.25">
      <c r="C50" s="262"/>
      <c r="D50" s="262"/>
      <c r="F50" s="271"/>
      <c r="G50" s="271"/>
      <c r="H50" s="271"/>
      <c r="I50" s="271"/>
      <c r="J50" s="685"/>
      <c r="K50" s="685"/>
      <c r="L50" s="685"/>
      <c r="M50" s="271"/>
      <c r="N50" s="271"/>
      <c r="O50" s="271"/>
      <c r="P50" s="271"/>
      <c r="Q50" s="271"/>
      <c r="R50" s="271"/>
      <c r="S50" s="271"/>
      <c r="T50" s="271"/>
      <c r="U50" s="271"/>
    </row>
    <row r="51" spans="3:21" x14ac:dyDescent="0.25">
      <c r="C51" s="262"/>
      <c r="D51" s="262"/>
      <c r="F51" s="271"/>
      <c r="G51" s="271"/>
      <c r="H51" s="271"/>
      <c r="I51" s="271"/>
      <c r="J51" s="685"/>
      <c r="K51" s="685"/>
      <c r="L51" s="685"/>
      <c r="M51" s="271"/>
      <c r="N51" s="271"/>
      <c r="O51" s="271"/>
      <c r="P51" s="271"/>
      <c r="Q51" s="271"/>
      <c r="R51" s="271"/>
      <c r="S51" s="271"/>
      <c r="T51" s="271"/>
      <c r="U51" s="271"/>
    </row>
    <row r="52" spans="3:21" x14ac:dyDescent="0.25">
      <c r="C52" s="262"/>
      <c r="D52" s="262"/>
      <c r="F52" s="271"/>
      <c r="G52" s="271"/>
      <c r="H52" s="271"/>
      <c r="I52" s="271"/>
      <c r="J52" s="685"/>
      <c r="K52" s="685"/>
      <c r="L52" s="685"/>
      <c r="M52" s="271"/>
      <c r="N52" s="271"/>
      <c r="O52" s="271"/>
      <c r="P52" s="271"/>
      <c r="Q52" s="271"/>
      <c r="R52" s="271"/>
      <c r="S52" s="271"/>
      <c r="T52" s="271"/>
      <c r="U52" s="271"/>
    </row>
    <row r="53" spans="3:21" x14ac:dyDescent="0.25">
      <c r="C53" s="262"/>
      <c r="D53" s="262"/>
      <c r="F53" s="271"/>
      <c r="G53" s="271"/>
      <c r="H53" s="271"/>
      <c r="I53" s="271"/>
      <c r="J53" s="685"/>
      <c r="K53" s="685"/>
      <c r="L53" s="685"/>
      <c r="M53" s="271"/>
      <c r="N53" s="271"/>
      <c r="O53" s="271"/>
      <c r="P53" s="271"/>
      <c r="Q53" s="271"/>
      <c r="R53" s="271"/>
      <c r="S53" s="271"/>
      <c r="T53" s="271"/>
      <c r="U53" s="271"/>
    </row>
    <row r="54" spans="3:21" x14ac:dyDescent="0.25">
      <c r="C54" s="262"/>
      <c r="D54" s="262"/>
      <c r="F54" s="271"/>
      <c r="G54" s="271"/>
      <c r="H54" s="271"/>
      <c r="I54" s="271"/>
      <c r="J54" s="685"/>
      <c r="K54" s="685"/>
      <c r="L54" s="685"/>
      <c r="M54" s="271"/>
      <c r="N54" s="271"/>
      <c r="O54" s="271"/>
      <c r="P54" s="271"/>
      <c r="Q54" s="271"/>
      <c r="R54" s="271"/>
      <c r="S54" s="271"/>
      <c r="T54" s="271"/>
      <c r="U54" s="271"/>
    </row>
    <row r="55" spans="3:21" x14ac:dyDescent="0.25">
      <c r="C55" s="262"/>
      <c r="D55" s="262"/>
      <c r="F55" s="271"/>
      <c r="G55" s="271"/>
      <c r="H55" s="271"/>
      <c r="I55" s="271"/>
      <c r="J55" s="685"/>
      <c r="K55" s="685"/>
      <c r="L55" s="685"/>
      <c r="M55" s="271"/>
      <c r="N55" s="271"/>
      <c r="O55" s="271"/>
      <c r="P55" s="271"/>
      <c r="Q55" s="271"/>
      <c r="R55" s="271"/>
      <c r="S55" s="271"/>
      <c r="T55" s="271"/>
      <c r="U55" s="271"/>
    </row>
    <row r="56" spans="3:21" x14ac:dyDescent="0.25">
      <c r="C56" s="262"/>
      <c r="D56" s="262"/>
      <c r="F56" s="271"/>
      <c r="G56" s="271"/>
      <c r="H56" s="271"/>
      <c r="I56" s="271"/>
      <c r="J56" s="685"/>
      <c r="K56" s="685"/>
      <c r="L56" s="685"/>
      <c r="M56" s="271"/>
      <c r="N56" s="271"/>
      <c r="O56" s="271"/>
      <c r="P56" s="271"/>
      <c r="Q56" s="271"/>
      <c r="R56" s="271"/>
      <c r="S56" s="271"/>
      <c r="T56" s="271"/>
      <c r="U56" s="271"/>
    </row>
    <row r="57" spans="3:21" x14ac:dyDescent="0.25">
      <c r="C57" s="262"/>
      <c r="D57" s="262"/>
      <c r="F57" s="271"/>
      <c r="G57" s="271"/>
      <c r="H57" s="271"/>
      <c r="I57" s="271"/>
      <c r="J57" s="685"/>
      <c r="K57" s="685"/>
      <c r="L57" s="685"/>
      <c r="M57" s="271"/>
      <c r="N57" s="271"/>
      <c r="O57" s="271"/>
      <c r="P57" s="271"/>
      <c r="Q57" s="271"/>
      <c r="R57" s="271"/>
      <c r="S57" s="271"/>
      <c r="T57" s="271"/>
      <c r="U57" s="271"/>
    </row>
    <row r="58" spans="3:21" x14ac:dyDescent="0.25">
      <c r="C58" s="262"/>
      <c r="D58" s="262"/>
      <c r="F58" s="271"/>
      <c r="G58" s="271"/>
      <c r="H58" s="271"/>
      <c r="I58" s="271"/>
      <c r="J58" s="685"/>
      <c r="K58" s="685"/>
      <c r="L58" s="685"/>
      <c r="M58" s="271"/>
      <c r="N58" s="271"/>
      <c r="O58" s="271"/>
      <c r="P58" s="271"/>
      <c r="Q58" s="271"/>
      <c r="R58" s="271"/>
      <c r="S58" s="271"/>
      <c r="T58" s="271"/>
      <c r="U58" s="271"/>
    </row>
    <row r="59" spans="3:21" x14ac:dyDescent="0.25">
      <c r="C59" s="262"/>
      <c r="D59" s="262"/>
      <c r="F59" s="271"/>
      <c r="G59" s="271"/>
      <c r="H59" s="271"/>
      <c r="I59" s="271"/>
      <c r="J59" s="685"/>
      <c r="K59" s="685"/>
      <c r="L59" s="685"/>
      <c r="M59" s="271"/>
      <c r="N59" s="271"/>
      <c r="O59" s="271"/>
      <c r="P59" s="271"/>
      <c r="Q59" s="271"/>
      <c r="R59" s="271"/>
      <c r="S59" s="271"/>
      <c r="T59" s="271"/>
      <c r="U59" s="271"/>
    </row>
    <row r="60" spans="3:21" x14ac:dyDescent="0.25">
      <c r="C60" s="262"/>
      <c r="D60" s="262"/>
      <c r="F60" s="271"/>
      <c r="G60" s="271"/>
      <c r="H60" s="271"/>
      <c r="I60" s="271"/>
      <c r="J60" s="685"/>
      <c r="K60" s="685"/>
      <c r="L60" s="685"/>
      <c r="M60" s="271"/>
      <c r="N60" s="271"/>
      <c r="O60" s="271"/>
      <c r="P60" s="271"/>
      <c r="Q60" s="271"/>
      <c r="R60" s="271"/>
      <c r="S60" s="271"/>
      <c r="T60" s="271"/>
      <c r="U60" s="271"/>
    </row>
    <row r="61" spans="3:21" x14ac:dyDescent="0.25">
      <c r="C61" s="262"/>
      <c r="D61" s="262"/>
      <c r="F61" s="271"/>
      <c r="G61" s="271"/>
      <c r="H61" s="271"/>
      <c r="I61" s="271"/>
      <c r="J61" s="685"/>
      <c r="K61" s="685"/>
      <c r="L61" s="685"/>
      <c r="M61" s="271"/>
      <c r="N61" s="271"/>
      <c r="O61" s="271"/>
      <c r="P61" s="271"/>
      <c r="Q61" s="271"/>
      <c r="R61" s="271"/>
      <c r="S61" s="271"/>
      <c r="T61" s="271"/>
      <c r="U61" s="271"/>
    </row>
    <row r="62" spans="3:21" x14ac:dyDescent="0.25">
      <c r="C62" s="262"/>
      <c r="D62" s="262"/>
      <c r="F62" s="271"/>
      <c r="G62" s="271"/>
      <c r="H62" s="271"/>
      <c r="I62" s="271"/>
      <c r="J62" s="685"/>
      <c r="K62" s="685"/>
      <c r="L62" s="685"/>
      <c r="M62" s="271"/>
      <c r="N62" s="271"/>
      <c r="O62" s="271"/>
      <c r="P62" s="271"/>
      <c r="Q62" s="271"/>
      <c r="R62" s="271"/>
      <c r="S62" s="271"/>
      <c r="T62" s="271"/>
      <c r="U62" s="271"/>
    </row>
    <row r="63" spans="3:21" x14ac:dyDescent="0.25">
      <c r="C63" s="262"/>
      <c r="D63" s="262"/>
      <c r="F63" s="271"/>
      <c r="G63" s="271"/>
      <c r="H63" s="271"/>
      <c r="I63" s="271"/>
      <c r="J63" s="685"/>
      <c r="K63" s="685"/>
      <c r="L63" s="685"/>
      <c r="M63" s="271"/>
      <c r="N63" s="271"/>
      <c r="O63" s="271"/>
      <c r="P63" s="271"/>
      <c r="Q63" s="271"/>
      <c r="R63" s="271"/>
      <c r="S63" s="271"/>
      <c r="T63" s="271"/>
      <c r="U63" s="271"/>
    </row>
    <row r="64" spans="3:21" x14ac:dyDescent="0.25">
      <c r="C64" s="262"/>
      <c r="D64" s="262"/>
      <c r="F64" s="271"/>
      <c r="G64" s="271"/>
      <c r="H64" s="271"/>
      <c r="I64" s="271"/>
      <c r="J64" s="685"/>
      <c r="K64" s="685"/>
      <c r="L64" s="685"/>
      <c r="M64" s="271"/>
      <c r="N64" s="686"/>
      <c r="O64" s="686"/>
      <c r="P64" s="686"/>
      <c r="Q64" s="271"/>
      <c r="R64" s="271"/>
      <c r="S64" s="271"/>
      <c r="T64" s="271"/>
      <c r="U64" s="271"/>
    </row>
    <row r="65" spans="3:21" x14ac:dyDescent="0.25">
      <c r="C65" s="262"/>
      <c r="D65" s="262"/>
      <c r="F65" s="271"/>
      <c r="G65" s="271"/>
      <c r="H65" s="271"/>
      <c r="I65" s="271"/>
      <c r="J65" s="685"/>
      <c r="K65" s="685"/>
      <c r="L65" s="685"/>
      <c r="M65" s="271"/>
      <c r="N65" s="271"/>
      <c r="O65" s="271"/>
      <c r="P65" s="271"/>
      <c r="Q65" s="271"/>
      <c r="R65" s="271"/>
      <c r="S65" s="271"/>
      <c r="T65" s="271"/>
      <c r="U65" s="271"/>
    </row>
  </sheetData>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I37"/>
  <sheetViews>
    <sheetView showGridLines="0" topLeftCell="C1" zoomScale="80" zoomScaleNormal="80" workbookViewId="0">
      <selection activeCell="E43" sqref="E43"/>
    </sheetView>
  </sheetViews>
  <sheetFormatPr defaultRowHeight="15" x14ac:dyDescent="0.25"/>
  <cols>
    <col min="1" max="1" width="5" customWidth="1"/>
    <col min="2" max="2" width="15.140625" customWidth="1"/>
    <col min="3" max="3" width="41.5703125" customWidth="1"/>
    <col min="5" max="5" width="19" bestFit="1" customWidth="1"/>
    <col min="7" max="7" width="139.42578125" customWidth="1"/>
  </cols>
  <sheetData>
    <row r="1" spans="1:9" s="10" customFormat="1" ht="12.75" x14ac:dyDescent="0.2">
      <c r="A1" s="81"/>
      <c r="E1" s="17"/>
      <c r="F1" s="17"/>
      <c r="G1" s="17"/>
      <c r="H1" s="17"/>
      <c r="I1" s="17"/>
    </row>
    <row r="2" spans="1:9" s="10" customFormat="1" ht="12.75" x14ac:dyDescent="0.2">
      <c r="A2" s="81"/>
      <c r="B2" s="10" t="s">
        <v>0</v>
      </c>
      <c r="C2" s="12" t="str">
        <f ca="1">MID(CELL("filename",A1),FIND("]",CELL("filename",A1))+1,256)</f>
        <v>Model_Config</v>
      </c>
      <c r="E2" s="17"/>
      <c r="F2" s="17"/>
      <c r="G2" s="17"/>
      <c r="H2" s="17"/>
      <c r="I2" s="17"/>
    </row>
    <row r="3" spans="1:9" s="10" customFormat="1" ht="12.75" x14ac:dyDescent="0.2">
      <c r="A3" s="81"/>
      <c r="B3" s="10" t="s">
        <v>1</v>
      </c>
      <c r="C3" s="10" t="s">
        <v>97</v>
      </c>
      <c r="E3" s="17"/>
      <c r="F3" s="17"/>
      <c r="G3" s="17"/>
      <c r="H3" s="17"/>
      <c r="I3" s="17"/>
    </row>
    <row r="4" spans="1:9" s="10" customFormat="1" ht="12.75" x14ac:dyDescent="0.2">
      <c r="A4" s="81"/>
      <c r="E4" s="17"/>
      <c r="F4" s="17"/>
      <c r="G4" s="17"/>
      <c r="H4" s="17"/>
      <c r="I4" s="17"/>
    </row>
    <row r="5" spans="1:9" s="18" customFormat="1" ht="12.75" x14ac:dyDescent="0.2">
      <c r="A5" s="81"/>
      <c r="B5" s="263"/>
      <c r="C5" s="263"/>
      <c r="D5" s="263"/>
      <c r="E5" s="263"/>
      <c r="F5" s="263"/>
      <c r="G5" s="263"/>
    </row>
    <row r="6" spans="1:9" s="19" customFormat="1" ht="12.75" x14ac:dyDescent="0.2">
      <c r="A6" s="80"/>
      <c r="B6" s="19" t="s">
        <v>27</v>
      </c>
      <c r="C6" s="19" t="s">
        <v>28</v>
      </c>
      <c r="D6" s="19" t="s">
        <v>29</v>
      </c>
      <c r="G6" s="26" t="s">
        <v>64</v>
      </c>
    </row>
    <row r="7" spans="1:9" x14ac:dyDescent="0.25">
      <c r="A7" s="263"/>
      <c r="B7" s="263"/>
      <c r="C7" s="263"/>
      <c r="D7" s="263"/>
      <c r="E7" s="263"/>
      <c r="F7" s="263"/>
      <c r="G7" s="263"/>
    </row>
    <row r="8" spans="1:9" x14ac:dyDescent="0.25">
      <c r="A8" s="263"/>
      <c r="B8" s="77" t="s">
        <v>98</v>
      </c>
      <c r="C8" s="77"/>
      <c r="D8" s="77"/>
      <c r="E8" s="77"/>
      <c r="F8" s="78"/>
      <c r="G8" s="78"/>
    </row>
    <row r="9" spans="1:9" s="42" customFormat="1" x14ac:dyDescent="0.25">
      <c r="A9" s="264"/>
      <c r="B9" s="16"/>
      <c r="C9" s="16"/>
      <c r="D9" s="16"/>
      <c r="E9" s="16"/>
      <c r="F9" s="20"/>
      <c r="G9" s="20"/>
    </row>
    <row r="10" spans="1:9" s="42" customFormat="1" x14ac:dyDescent="0.25">
      <c r="A10" s="264"/>
      <c r="B10" s="89" t="s">
        <v>99</v>
      </c>
      <c r="C10" s="16"/>
      <c r="D10" s="16"/>
      <c r="E10" s="16"/>
      <c r="F10" s="20"/>
      <c r="G10" s="20"/>
    </row>
    <row r="11" spans="1:9" s="42" customFormat="1" x14ac:dyDescent="0.25">
      <c r="A11" s="264"/>
      <c r="B11" s="151"/>
      <c r="C11" s="149"/>
      <c r="D11" s="16"/>
      <c r="E11" s="16"/>
      <c r="F11" s="20"/>
      <c r="G11" s="20"/>
    </row>
    <row r="12" spans="1:9" ht="15.75" thickBot="1" x14ac:dyDescent="0.3">
      <c r="A12" s="263"/>
      <c r="B12" s="149">
        <v>1</v>
      </c>
      <c r="C12" s="272" t="s">
        <v>138</v>
      </c>
      <c r="D12" s="312"/>
      <c r="E12" s="156"/>
      <c r="F12" s="263"/>
      <c r="G12" s="263"/>
    </row>
    <row r="13" spans="1:9" ht="15.75" thickBot="1" x14ac:dyDescent="0.3">
      <c r="A13" s="263"/>
      <c r="B13" s="149"/>
      <c r="C13" s="313" t="s">
        <v>43</v>
      </c>
      <c r="D13" s="312"/>
      <c r="E13" s="314" t="s">
        <v>122</v>
      </c>
      <c r="F13" s="263"/>
      <c r="G13" s="157" t="s">
        <v>280</v>
      </c>
    </row>
    <row r="14" spans="1:9" ht="15.75" thickBot="1" x14ac:dyDescent="0.3">
      <c r="A14" s="263"/>
      <c r="B14" s="149"/>
      <c r="C14" s="313" t="s">
        <v>436</v>
      </c>
      <c r="D14" s="312"/>
      <c r="E14" s="314" t="s">
        <v>122</v>
      </c>
      <c r="F14" s="263"/>
      <c r="G14" s="157" t="s">
        <v>461</v>
      </c>
    </row>
    <row r="15" spans="1:9" ht="15.75" thickBot="1" x14ac:dyDescent="0.3">
      <c r="A15" s="263"/>
      <c r="B15" s="149"/>
      <c r="C15" s="313" t="s">
        <v>303</v>
      </c>
      <c r="D15" s="312"/>
      <c r="E15" s="314" t="s">
        <v>494</v>
      </c>
      <c r="F15" s="263"/>
      <c r="G15" s="157"/>
    </row>
    <row r="16" spans="1:9" s="262" customFormat="1" ht="15.75" thickBot="1" x14ac:dyDescent="0.3">
      <c r="A16" s="263"/>
      <c r="B16" s="149"/>
      <c r="C16" s="313" t="s">
        <v>492</v>
      </c>
      <c r="D16" s="312"/>
      <c r="E16" s="314" t="s">
        <v>493</v>
      </c>
      <c r="F16" s="291">
        <f>IF($E$16="On",1,0)</f>
        <v>1</v>
      </c>
      <c r="G16" s="157"/>
    </row>
    <row r="17" spans="1:7" s="42" customFormat="1" x14ac:dyDescent="0.25">
      <c r="A17" s="264"/>
      <c r="B17" s="264"/>
      <c r="C17" s="272"/>
      <c r="D17" s="315"/>
      <c r="E17" s="170"/>
      <c r="F17" s="264"/>
      <c r="G17" s="171"/>
    </row>
    <row r="18" spans="1:7" ht="27" thickBot="1" x14ac:dyDescent="0.3">
      <c r="A18" s="263"/>
      <c r="B18" s="149">
        <v>1.1000000000000001</v>
      </c>
      <c r="C18" s="194" t="s">
        <v>266</v>
      </c>
      <c r="D18" s="312"/>
      <c r="E18" s="263"/>
      <c r="F18" s="263"/>
      <c r="G18" s="33" t="s">
        <v>524</v>
      </c>
    </row>
    <row r="19" spans="1:7" ht="15.75" thickBot="1" x14ac:dyDescent="0.3">
      <c r="A19" s="263"/>
      <c r="B19" s="163"/>
      <c r="C19" s="316" t="s">
        <v>261</v>
      </c>
      <c r="D19" s="312"/>
      <c r="E19" s="314" t="s">
        <v>122</v>
      </c>
      <c r="F19" s="263"/>
      <c r="G19" s="88"/>
    </row>
    <row r="20" spans="1:7" ht="15.75" thickBot="1" x14ac:dyDescent="0.3">
      <c r="A20" s="263"/>
      <c r="B20" s="163"/>
      <c r="C20" s="316" t="s">
        <v>350</v>
      </c>
      <c r="D20" s="312"/>
      <c r="E20" s="314" t="s">
        <v>122</v>
      </c>
      <c r="F20" s="263"/>
      <c r="G20" s="157"/>
    </row>
    <row r="21" spans="1:7" ht="15.75" thickBot="1" x14ac:dyDescent="0.3">
      <c r="A21" s="263"/>
      <c r="B21" s="163"/>
      <c r="C21" s="317" t="s">
        <v>267</v>
      </c>
      <c r="D21" s="312"/>
      <c r="E21" s="314" t="s">
        <v>122</v>
      </c>
      <c r="F21" s="263"/>
      <c r="G21" s="157"/>
    </row>
    <row r="22" spans="1:7" ht="15.75" thickBot="1" x14ac:dyDescent="0.3">
      <c r="A22" s="263"/>
      <c r="B22" s="163"/>
      <c r="C22" s="317" t="s">
        <v>272</v>
      </c>
      <c r="D22" s="312"/>
      <c r="E22" s="314" t="s">
        <v>122</v>
      </c>
      <c r="F22" s="263"/>
      <c r="G22" s="263"/>
    </row>
    <row r="23" spans="1:7" ht="15.75" thickBot="1" x14ac:dyDescent="0.3">
      <c r="A23" s="263"/>
      <c r="B23" s="163"/>
      <c r="C23" s="317" t="s">
        <v>268</v>
      </c>
      <c r="D23" s="312"/>
      <c r="E23" s="314" t="s">
        <v>122</v>
      </c>
      <c r="F23" s="263"/>
      <c r="G23" s="229"/>
    </row>
    <row r="24" spans="1:7" ht="15.75" thickBot="1" x14ac:dyDescent="0.3">
      <c r="A24" s="263"/>
      <c r="B24" s="163"/>
      <c r="C24" s="317" t="s">
        <v>269</v>
      </c>
      <c r="D24" s="312"/>
      <c r="E24" s="314" t="s">
        <v>122</v>
      </c>
      <c r="F24" s="263"/>
      <c r="G24" s="157"/>
    </row>
    <row r="25" spans="1:7" ht="15.75" thickBot="1" x14ac:dyDescent="0.3">
      <c r="A25" s="263"/>
      <c r="B25" s="163"/>
      <c r="C25" s="317" t="s">
        <v>271</v>
      </c>
      <c r="D25" s="312"/>
      <c r="E25" s="314" t="s">
        <v>122</v>
      </c>
      <c r="F25" s="263"/>
      <c r="G25" s="157"/>
    </row>
    <row r="26" spans="1:7" ht="15.75" thickBot="1" x14ac:dyDescent="0.3">
      <c r="A26" s="263"/>
      <c r="B26" s="163"/>
      <c r="C26" s="317" t="s">
        <v>270</v>
      </c>
      <c r="D26" s="312"/>
      <c r="E26" s="314" t="s">
        <v>122</v>
      </c>
      <c r="F26" s="263"/>
      <c r="G26" s="157"/>
    </row>
    <row r="27" spans="1:7" x14ac:dyDescent="0.25">
      <c r="A27" s="263"/>
      <c r="B27" s="158"/>
      <c r="C27" s="313"/>
      <c r="D27" s="312"/>
      <c r="E27" s="187"/>
      <c r="F27" s="263"/>
      <c r="G27" s="157"/>
    </row>
    <row r="28" spans="1:7" x14ac:dyDescent="0.25">
      <c r="A28" s="263"/>
      <c r="B28" s="149"/>
      <c r="C28" s="263"/>
      <c r="D28" s="263"/>
      <c r="E28" s="263"/>
      <c r="F28" s="263"/>
      <c r="G28" s="263"/>
    </row>
    <row r="29" spans="1:7" x14ac:dyDescent="0.25">
      <c r="A29" s="263"/>
      <c r="B29" s="158"/>
      <c r="C29" s="313"/>
      <c r="D29" s="312"/>
      <c r="E29" s="187"/>
      <c r="F29" s="263"/>
      <c r="G29" s="157"/>
    </row>
    <row r="30" spans="1:7" x14ac:dyDescent="0.25">
      <c r="A30" s="263"/>
      <c r="B30" s="263"/>
      <c r="C30" s="263"/>
      <c r="D30" s="263"/>
      <c r="E30" s="263"/>
      <c r="F30" s="263"/>
      <c r="G30" s="263"/>
    </row>
    <row r="31" spans="1:7" x14ac:dyDescent="0.25">
      <c r="A31" s="263"/>
      <c r="B31" s="158"/>
      <c r="C31" s="313"/>
      <c r="D31" s="312"/>
      <c r="E31" s="187"/>
      <c r="F31" s="263"/>
      <c r="G31" s="157"/>
    </row>
    <row r="34" spans="2:7" x14ac:dyDescent="0.25">
      <c r="B34" s="158"/>
      <c r="C34" s="115"/>
      <c r="D34" s="109"/>
      <c r="E34" s="156"/>
      <c r="G34" s="157"/>
    </row>
    <row r="35" spans="2:7" x14ac:dyDescent="0.25">
      <c r="B35" s="158"/>
      <c r="C35" s="115"/>
      <c r="D35" s="109"/>
      <c r="E35" s="156"/>
      <c r="G35" s="157"/>
    </row>
    <row r="36" spans="2:7" x14ac:dyDescent="0.25">
      <c r="B36" s="158"/>
      <c r="C36" s="115"/>
      <c r="D36" s="109"/>
      <c r="E36" s="156"/>
      <c r="G36" s="157"/>
    </row>
    <row r="37" spans="2:7" x14ac:dyDescent="0.25">
      <c r="B37" s="116"/>
    </row>
  </sheetData>
  <dataValidations count="4">
    <dataValidation type="list" allowBlank="1" showInputMessage="1" showErrorMessage="1" sqref="E17 E16">
      <formula1>"On,Off"</formula1>
    </dataValidation>
    <dataValidation type="list" allowBlank="1" showInputMessage="1" showErrorMessage="1" sqref="E15">
      <formula1>"Standard, Spackman"</formula1>
    </dataValidation>
    <dataValidation type="list" allowBlank="1" showInputMessage="1" showErrorMessage="1" sqref="E13:E14">
      <formula1>"High, Baseline, Low"</formula1>
    </dataValidation>
    <dataValidation type="list" allowBlank="1" showInputMessage="1" showErrorMessage="1" sqref="E19:E26">
      <formula1>IF($E$13="Baseline",#REF!,"Baseline")</formula1>
    </dataValidation>
  </dataValidation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J30"/>
  <sheetViews>
    <sheetView showGridLines="0" topLeftCell="B1" zoomScale="80" zoomScaleNormal="80" workbookViewId="0">
      <selection activeCell="O31" sqref="O31"/>
    </sheetView>
  </sheetViews>
  <sheetFormatPr defaultRowHeight="15" outlineLevelCol="1" x14ac:dyDescent="0.25"/>
  <cols>
    <col min="2" max="2" width="33.85546875" customWidth="1"/>
    <col min="3" max="3" width="21.42578125" customWidth="1"/>
    <col min="4" max="4" width="3.7109375" customWidth="1"/>
    <col min="5" max="5" width="4" customWidth="1"/>
    <col min="6" max="6" width="3" customWidth="1"/>
    <col min="7" max="7" width="44.28515625" bestFit="1" customWidth="1"/>
    <col min="8" max="8" width="3" customWidth="1"/>
    <col min="9" max="9" width="19.28515625" bestFit="1" customWidth="1"/>
    <col min="10" max="10" width="3.28515625" hidden="1" customWidth="1" outlineLevel="1"/>
    <col min="11" max="11" width="12.140625" hidden="1" customWidth="1" outlineLevel="1"/>
    <col min="12" max="12" width="3.5703125" hidden="1" customWidth="1" outlineLevel="1"/>
    <col min="13" max="13" width="13" hidden="1" customWidth="1" outlineLevel="1"/>
    <col min="14" max="14" width="3.42578125" customWidth="1" collapsed="1"/>
    <col min="15" max="15" width="12.85546875" bestFit="1" customWidth="1"/>
    <col min="16" max="16" width="13.7109375" customWidth="1"/>
    <col min="17" max="17" width="13" bestFit="1" customWidth="1"/>
    <col min="18" max="18" width="17.42578125" bestFit="1" customWidth="1"/>
    <col min="19" max="19" width="2.5703125" customWidth="1"/>
    <col min="20" max="20" width="2.140625" customWidth="1"/>
    <col min="21" max="21" width="12.85546875" bestFit="1" customWidth="1"/>
    <col min="22" max="22" width="12.85546875" customWidth="1"/>
    <col min="23" max="23" width="12.140625" customWidth="1"/>
    <col min="24" max="24" width="12.85546875" bestFit="1" customWidth="1"/>
    <col min="25" max="26" width="14.28515625" bestFit="1" customWidth="1"/>
    <col min="28" max="28" width="11.5703125" bestFit="1" customWidth="1"/>
    <col min="30" max="30" width="15.85546875" bestFit="1" customWidth="1"/>
    <col min="31" max="31" width="9.28515625" bestFit="1" customWidth="1"/>
    <col min="32" max="33" width="14" bestFit="1" customWidth="1"/>
    <col min="36" max="36" width="16.42578125" bestFit="1" customWidth="1"/>
  </cols>
  <sheetData>
    <row r="1" spans="1:25" s="10" customFormat="1" ht="12.75" x14ac:dyDescent="0.2">
      <c r="K1" s="266"/>
      <c r="L1" s="266"/>
      <c r="M1" s="17"/>
      <c r="O1" s="25"/>
      <c r="P1" s="25"/>
      <c r="Q1" s="25"/>
      <c r="R1" s="25"/>
      <c r="S1" s="25"/>
      <c r="T1" s="25"/>
      <c r="U1" s="25"/>
      <c r="V1" s="25"/>
      <c r="W1" s="25"/>
    </row>
    <row r="2" spans="1:25" s="10" customFormat="1" ht="12.75" x14ac:dyDescent="0.2">
      <c r="B2" s="10" t="s">
        <v>0</v>
      </c>
      <c r="C2" s="12" t="str">
        <f ca="1">MID(CELL("filename",A1),FIND("]",CELL("filename",A1))+1,256)</f>
        <v>NPC Summary</v>
      </c>
      <c r="D2" s="12"/>
      <c r="K2" s="266"/>
      <c r="L2" s="266"/>
      <c r="M2" s="17"/>
      <c r="O2" s="25"/>
      <c r="P2" s="25"/>
      <c r="Q2" s="25"/>
      <c r="R2" s="25"/>
      <c r="S2" s="25"/>
      <c r="T2" s="25"/>
      <c r="U2" s="25"/>
      <c r="V2" s="25"/>
      <c r="W2" s="25"/>
    </row>
    <row r="3" spans="1:25" s="10" customFormat="1" ht="12.75" x14ac:dyDescent="0.2">
      <c r="B3" s="10" t="s">
        <v>1</v>
      </c>
      <c r="C3" s="10" t="s">
        <v>279</v>
      </c>
      <c r="K3" s="266"/>
      <c r="L3" s="266"/>
      <c r="M3" s="73"/>
      <c r="O3" s="321"/>
      <c r="P3" s="321"/>
      <c r="Q3" s="25"/>
      <c r="R3" s="25"/>
      <c r="S3" s="25"/>
      <c r="T3" s="25"/>
      <c r="U3" s="255"/>
      <c r="V3" s="25"/>
      <c r="W3" s="255"/>
    </row>
    <row r="4" spans="1:25" s="10" customFormat="1" ht="12.75" x14ac:dyDescent="0.2">
      <c r="K4" s="266"/>
      <c r="L4" s="266"/>
      <c r="M4" s="73"/>
    </row>
    <row r="5" spans="1:25" s="19" customFormat="1" ht="12.75" x14ac:dyDescent="0.2">
      <c r="A5" s="80"/>
      <c r="J5" s="26"/>
    </row>
    <row r="6" spans="1:25" s="10" customFormat="1" ht="12.75" x14ac:dyDescent="0.2">
      <c r="K6" s="72"/>
      <c r="L6" s="72"/>
      <c r="M6" s="71"/>
    </row>
    <row r="7" spans="1:25" s="10" customFormat="1" ht="13.5" thickBot="1" x14ac:dyDescent="0.25">
      <c r="K7" s="72"/>
      <c r="L7" s="72"/>
      <c r="M7" s="71"/>
    </row>
    <row r="8" spans="1:25" s="10" customFormat="1" ht="18.75" customHeight="1" thickBot="1" x14ac:dyDescent="0.25">
      <c r="B8" s="172" t="s">
        <v>273</v>
      </c>
      <c r="C8" s="173"/>
      <c r="D8" s="174"/>
      <c r="E8" s="174"/>
      <c r="F8" s="174"/>
      <c r="G8" s="175" t="s">
        <v>264</v>
      </c>
      <c r="H8" s="176"/>
      <c r="I8" s="177" t="s">
        <v>85</v>
      </c>
      <c r="J8" s="176"/>
      <c r="K8" s="176" t="s">
        <v>86</v>
      </c>
      <c r="L8" s="176"/>
      <c r="M8" s="176" t="s">
        <v>87</v>
      </c>
      <c r="N8" s="176"/>
      <c r="O8" s="176" t="s">
        <v>88</v>
      </c>
      <c r="P8" s="176" t="s">
        <v>366</v>
      </c>
      <c r="Q8" s="176" t="s">
        <v>365</v>
      </c>
      <c r="R8" s="176" t="s">
        <v>89</v>
      </c>
      <c r="S8" s="176"/>
      <c r="T8" s="176"/>
      <c r="U8" s="178" t="s">
        <v>78</v>
      </c>
    </row>
    <row r="9" spans="1:25" s="10" customFormat="1" ht="15" customHeight="1" x14ac:dyDescent="0.2">
      <c r="A9" s="81"/>
      <c r="B9" s="212" t="s">
        <v>265</v>
      </c>
      <c r="C9" s="283" t="str">
        <f>Model_Config!E13</f>
        <v>Baseline</v>
      </c>
      <c r="G9" s="318"/>
      <c r="H9" s="322"/>
      <c r="I9" s="323"/>
      <c r="J9" s="322"/>
      <c r="K9" s="322"/>
      <c r="L9" s="322"/>
      <c r="M9" s="322"/>
      <c r="N9" s="322"/>
      <c r="O9" s="322"/>
      <c r="P9" s="322"/>
      <c r="Q9" s="322"/>
      <c r="R9" s="322"/>
      <c r="S9" s="322"/>
      <c r="T9" s="322"/>
      <c r="U9" s="324"/>
    </row>
    <row r="10" spans="1:25" s="10" customFormat="1" ht="15" customHeight="1" x14ac:dyDescent="0.2">
      <c r="A10" s="81"/>
      <c r="B10" s="162" t="s">
        <v>436</v>
      </c>
      <c r="C10" s="161" t="str">
        <f>Model_Config!E14</f>
        <v>Baseline</v>
      </c>
      <c r="G10" s="319" t="s">
        <v>178</v>
      </c>
      <c r="H10" s="71"/>
      <c r="I10" s="325">
        <f>NPC_Results!E41</f>
        <v>883820.80200224102</v>
      </c>
      <c r="J10" s="39"/>
      <c r="K10" s="326">
        <f>NPC_Results!H41</f>
        <v>0</v>
      </c>
      <c r="L10" s="39"/>
      <c r="M10" s="327">
        <f>NPC_Results!I41</f>
        <v>1102026.3622222221</v>
      </c>
      <c r="N10" s="39"/>
      <c r="O10" s="327">
        <f>NPC_Results!$K$41+NPC_TierA!H18</f>
        <v>7997879.5333333332</v>
      </c>
      <c r="P10" s="327">
        <f>NPC_Results!H41+NPC_TierA!E18</f>
        <v>0</v>
      </c>
      <c r="Q10" s="327">
        <f>NPC_Results!I41+NPC_TierA!F18</f>
        <v>1428403.9066666667</v>
      </c>
      <c r="R10" s="327">
        <f>NPC_Results!$J$41+NPC_TierA!G18</f>
        <v>1428403.9066666667</v>
      </c>
      <c r="S10" s="39"/>
      <c r="T10" s="39"/>
      <c r="U10" s="328">
        <f>NPC_Results!X41+NPC_TierA!U18</f>
        <v>22554925.858107526</v>
      </c>
      <c r="W10" s="244"/>
      <c r="X10" s="243"/>
      <c r="Y10" s="243"/>
    </row>
    <row r="11" spans="1:25" s="10" customFormat="1" ht="15" customHeight="1" x14ac:dyDescent="0.2">
      <c r="B11" s="162" t="s">
        <v>66</v>
      </c>
      <c r="C11" s="195" t="str">
        <f>Model_Config!E15</f>
        <v>Spackman</v>
      </c>
      <c r="G11" s="320" t="s">
        <v>179</v>
      </c>
      <c r="H11" s="329"/>
      <c r="I11" s="330">
        <f>NPC_Results!E53</f>
        <v>883820.80200224102</v>
      </c>
      <c r="J11" s="331"/>
      <c r="K11" s="332">
        <f>NPC_Results!H53</f>
        <v>0</v>
      </c>
      <c r="L11" s="331"/>
      <c r="M11" s="333">
        <f>NPC_Results!I53</f>
        <v>1129248.8261111113</v>
      </c>
      <c r="N11" s="331"/>
      <c r="O11" s="333">
        <f>NPC_Results!K53+NPC_TierA!H24</f>
        <v>8872473.8666666672</v>
      </c>
      <c r="P11" s="333">
        <f>NPC_Results!H53+NPC_TierA!E24</f>
        <v>0</v>
      </c>
      <c r="Q11" s="333">
        <f>NPC_Results!I53+NPC_TierA!F24</f>
        <v>1501877.7733333337</v>
      </c>
      <c r="R11" s="333">
        <f>NPC_Results!$J$53+NPC_TierA!G24</f>
        <v>1501877.7733333337</v>
      </c>
      <c r="S11" s="331"/>
      <c r="T11" s="331"/>
      <c r="U11" s="334">
        <f>NPC_Results!X53+NPC_TierA!U24</f>
        <v>24309294.709497027</v>
      </c>
      <c r="V11" s="243"/>
      <c r="W11" s="244"/>
      <c r="X11" s="243"/>
      <c r="Y11" s="243"/>
    </row>
    <row r="12" spans="1:25" s="10" customFormat="1" ht="15" customHeight="1" x14ac:dyDescent="0.2">
      <c r="B12" s="343" t="s">
        <v>492</v>
      </c>
      <c r="C12" s="195" t="str">
        <f>Model_Config!E16</f>
        <v>On</v>
      </c>
      <c r="G12" s="319" t="s">
        <v>176</v>
      </c>
      <c r="H12" s="71"/>
      <c r="I12" s="325">
        <f>NPC_Results!E65</f>
        <v>883820.80200224102</v>
      </c>
      <c r="J12" s="39"/>
      <c r="K12" s="326">
        <f>NPC_Results!H65</f>
        <v>0</v>
      </c>
      <c r="L12" s="39"/>
      <c r="M12" s="327">
        <f>NPC_Results!I65</f>
        <v>981397.69555555563</v>
      </c>
      <c r="N12" s="39"/>
      <c r="O12" s="327">
        <f>NPC_Results!K65+NPC_TierA!H30</f>
        <v>7129859.5333333332</v>
      </c>
      <c r="P12" s="327">
        <f>NPC_Results!H65+NPC_TierA!E30</f>
        <v>0</v>
      </c>
      <c r="Q12" s="327">
        <f>NPC_Results!I65+NPC_TierA!F30</f>
        <v>1267471.9066666667</v>
      </c>
      <c r="R12" s="327">
        <f>NPC_Results!$J$65+NPC_TierA!G30</f>
        <v>1267471.9066666667</v>
      </c>
      <c r="S12" s="39"/>
      <c r="T12" s="39"/>
      <c r="U12" s="335">
        <f>NPC_Results!X65+NPC_TierA!U30</f>
        <v>20056178.361343764</v>
      </c>
      <c r="W12" s="244"/>
      <c r="X12" s="243"/>
      <c r="Y12" s="243"/>
    </row>
    <row r="13" spans="1:25" s="10" customFormat="1" ht="15" customHeight="1" x14ac:dyDescent="0.2">
      <c r="B13" s="162" t="s">
        <v>266</v>
      </c>
      <c r="C13" s="160"/>
      <c r="G13" s="320" t="s">
        <v>177</v>
      </c>
      <c r="H13" s="329"/>
      <c r="I13" s="330">
        <f>NPC_Results!E77</f>
        <v>883820.80200224102</v>
      </c>
      <c r="J13" s="331"/>
      <c r="K13" s="332">
        <f>NPC_Results!H77</f>
        <v>0</v>
      </c>
      <c r="L13" s="331"/>
      <c r="M13" s="333">
        <f>NPC_Results!I77</f>
        <v>1009148.1594444446</v>
      </c>
      <c r="N13" s="331"/>
      <c r="O13" s="333">
        <f>NPC_Results!K77+NPC_TierA!H36</f>
        <v>8007093.8666666672</v>
      </c>
      <c r="P13" s="333">
        <f>NPC_Results!H77+NPC_TierA!E36</f>
        <v>0</v>
      </c>
      <c r="Q13" s="333">
        <f>NPC_Results!I77+NPC_TierA!F36</f>
        <v>1341473.7733333334</v>
      </c>
      <c r="R13" s="333">
        <f>NPC_Results!$J$77+NPC_TierA!G36</f>
        <v>1341473.7733333334</v>
      </c>
      <c r="S13" s="331"/>
      <c r="T13" s="331"/>
      <c r="U13" s="334">
        <f>NPC_Results!X77+NPC_TierA!U36</f>
        <v>21818478.660884846</v>
      </c>
      <c r="V13" s="243"/>
      <c r="W13" s="244"/>
      <c r="X13" s="243"/>
      <c r="Y13" s="243"/>
    </row>
    <row r="14" spans="1:25" s="10" customFormat="1" ht="15" customHeight="1" thickBot="1" x14ac:dyDescent="0.25">
      <c r="B14" s="159" t="s">
        <v>261</v>
      </c>
      <c r="C14" s="161" t="str">
        <f>Model_Config!E19</f>
        <v>Baseline</v>
      </c>
      <c r="G14" s="274"/>
      <c r="H14" s="273"/>
      <c r="I14" s="342"/>
      <c r="J14" s="273"/>
      <c r="K14" s="273"/>
      <c r="L14" s="273"/>
      <c r="M14" s="273"/>
      <c r="N14" s="273"/>
      <c r="O14" s="273"/>
      <c r="P14" s="273"/>
      <c r="Q14" s="273"/>
      <c r="R14" s="273"/>
      <c r="S14" s="273"/>
      <c r="T14" s="273"/>
      <c r="U14" s="275"/>
    </row>
    <row r="15" spans="1:25" s="10" customFormat="1" ht="15" customHeight="1" x14ac:dyDescent="0.2">
      <c r="B15" s="159" t="s">
        <v>350</v>
      </c>
      <c r="C15" s="161" t="str">
        <f>Model_Config!E20</f>
        <v>Baseline</v>
      </c>
      <c r="V15" s="166"/>
      <c r="W15" s="166"/>
    </row>
    <row r="16" spans="1:25" s="10" customFormat="1" ht="15" customHeight="1" x14ac:dyDescent="0.2">
      <c r="B16" s="159" t="s">
        <v>267</v>
      </c>
      <c r="C16" s="161" t="str">
        <f>Model_Config!E21</f>
        <v>Baseline</v>
      </c>
      <c r="E16" s="81"/>
      <c r="G16" s="336"/>
      <c r="H16" s="265"/>
      <c r="I16" s="265"/>
      <c r="J16" s="265"/>
      <c r="K16" s="265"/>
      <c r="L16" s="265"/>
      <c r="M16" s="265"/>
      <c r="N16" s="265"/>
      <c r="O16" s="265"/>
      <c r="P16" s="265"/>
      <c r="Q16" s="265"/>
      <c r="R16" s="265"/>
      <c r="S16" s="265"/>
      <c r="T16" s="265"/>
      <c r="U16" s="265"/>
      <c r="V16" s="166"/>
      <c r="W16" s="166"/>
    </row>
    <row r="17" spans="2:36" s="10" customFormat="1" ht="15" customHeight="1" x14ac:dyDescent="0.2">
      <c r="B17" s="159" t="s">
        <v>272</v>
      </c>
      <c r="C17" s="161" t="str">
        <f>Model_Config!E22</f>
        <v>Baseline</v>
      </c>
      <c r="G17" s="265"/>
      <c r="H17" s="265"/>
      <c r="I17" s="265"/>
      <c r="J17" s="265"/>
      <c r="K17" s="265"/>
      <c r="L17" s="265"/>
      <c r="M17" s="265"/>
      <c r="N17" s="265"/>
      <c r="O17" s="265"/>
      <c r="P17" s="265"/>
      <c r="Q17" s="265"/>
      <c r="R17" s="265"/>
      <c r="S17" s="265"/>
      <c r="T17" s="265"/>
      <c r="U17" s="265"/>
      <c r="V17" s="166"/>
      <c r="W17" s="166"/>
    </row>
    <row r="18" spans="2:36" s="10" customFormat="1" ht="15" customHeight="1" x14ac:dyDescent="0.2">
      <c r="B18" s="159" t="s">
        <v>268</v>
      </c>
      <c r="C18" s="161" t="str">
        <f>Model_Config!E23</f>
        <v>Baseline</v>
      </c>
      <c r="G18" s="336"/>
      <c r="H18" s="39"/>
      <c r="I18" s="327"/>
      <c r="J18" s="39"/>
      <c r="K18" s="337"/>
      <c r="L18" s="39"/>
      <c r="M18" s="337"/>
      <c r="N18" s="39"/>
      <c r="O18" s="327"/>
      <c r="P18" s="327"/>
      <c r="Q18" s="327"/>
      <c r="R18" s="327"/>
      <c r="S18" s="39"/>
      <c r="T18" s="39"/>
      <c r="U18" s="327"/>
      <c r="V18" s="292"/>
      <c r="W18" s="166"/>
    </row>
    <row r="19" spans="2:36" s="10" customFormat="1" ht="15" customHeight="1" x14ac:dyDescent="0.2">
      <c r="B19" s="159" t="s">
        <v>269</v>
      </c>
      <c r="C19" s="161" t="str">
        <f>Model_Config!E24</f>
        <v>Baseline</v>
      </c>
      <c r="G19" s="338"/>
      <c r="H19" s="281"/>
      <c r="I19" s="339"/>
      <c r="J19" s="281"/>
      <c r="K19" s="340"/>
      <c r="L19" s="281"/>
      <c r="M19" s="340"/>
      <c r="N19" s="281"/>
      <c r="O19" s="339"/>
      <c r="P19" s="339"/>
      <c r="Q19" s="339"/>
      <c r="R19" s="339"/>
      <c r="S19" s="281"/>
      <c r="T19" s="281"/>
      <c r="U19" s="339"/>
      <c r="V19" s="292"/>
      <c r="W19" s="166"/>
    </row>
    <row r="20" spans="2:36" s="10" customFormat="1" ht="15" customHeight="1" x14ac:dyDescent="0.2">
      <c r="B20" s="159" t="s">
        <v>271</v>
      </c>
      <c r="C20" s="161" t="str">
        <f>Model_Config!E25</f>
        <v>Baseline</v>
      </c>
      <c r="G20" s="338"/>
      <c r="H20" s="281"/>
      <c r="I20" s="339"/>
      <c r="J20" s="281"/>
      <c r="K20" s="281"/>
      <c r="L20" s="281"/>
      <c r="M20" s="281"/>
      <c r="N20" s="281"/>
      <c r="O20" s="339"/>
      <c r="P20" s="339"/>
      <c r="Q20" s="339"/>
      <c r="R20" s="339"/>
      <c r="S20" s="281"/>
      <c r="T20" s="281"/>
      <c r="U20" s="339"/>
      <c r="V20" s="292"/>
      <c r="W20" s="166"/>
    </row>
    <row r="21" spans="2:36" s="10" customFormat="1" ht="15" customHeight="1" thickBot="1" x14ac:dyDescent="0.25">
      <c r="B21" s="277" t="s">
        <v>270</v>
      </c>
      <c r="C21" s="278" t="str">
        <f>Model_Config!E26</f>
        <v>Baseline</v>
      </c>
      <c r="G21" s="338"/>
      <c r="H21" s="281"/>
      <c r="I21" s="339"/>
      <c r="J21" s="281"/>
      <c r="K21" s="281"/>
      <c r="L21" s="281"/>
      <c r="M21" s="281"/>
      <c r="N21" s="281"/>
      <c r="O21" s="339"/>
      <c r="P21" s="339"/>
      <c r="Q21" s="339"/>
      <c r="R21" s="339"/>
      <c r="S21" s="281"/>
      <c r="T21" s="281"/>
      <c r="U21" s="339"/>
      <c r="V21" s="292"/>
      <c r="W21" s="166"/>
    </row>
    <row r="22" spans="2:36" s="10" customFormat="1" ht="15" customHeight="1" x14ac:dyDescent="0.2">
      <c r="G22" s="341"/>
      <c r="H22" s="166"/>
      <c r="I22" s="166"/>
      <c r="J22" s="166"/>
      <c r="K22" s="166"/>
      <c r="L22" s="166"/>
      <c r="M22" s="166"/>
      <c r="N22" s="166"/>
      <c r="O22" s="166"/>
      <c r="P22" s="166"/>
      <c r="Q22" s="166"/>
      <c r="R22" s="166"/>
      <c r="S22" s="166"/>
      <c r="T22" s="166"/>
      <c r="U22" s="166"/>
      <c r="V22" s="166"/>
      <c r="W22" s="166"/>
    </row>
    <row r="23" spans="2:36" s="10" customFormat="1" ht="15" customHeight="1" x14ac:dyDescent="0.2">
      <c r="G23" s="166"/>
      <c r="H23" s="166"/>
      <c r="I23" s="166"/>
      <c r="J23" s="166"/>
      <c r="K23" s="282"/>
      <c r="L23" s="282"/>
      <c r="M23" s="41"/>
      <c r="N23" s="166"/>
      <c r="O23" s="166"/>
      <c r="P23" s="166"/>
      <c r="Q23" s="166"/>
      <c r="R23" s="166"/>
      <c r="S23" s="166"/>
      <c r="T23" s="166"/>
      <c r="U23" s="166"/>
      <c r="V23" s="166"/>
      <c r="W23" s="166"/>
    </row>
    <row r="24" spans="2:36" s="10" customFormat="1" ht="12.75" x14ac:dyDescent="0.2">
      <c r="G24" s="166"/>
      <c r="H24" s="166"/>
      <c r="I24" s="166"/>
      <c r="J24" s="166"/>
      <c r="K24" s="282"/>
      <c r="L24" s="282"/>
      <c r="M24" s="41"/>
      <c r="N24" s="166"/>
      <c r="O24" s="166"/>
      <c r="P24" s="166"/>
      <c r="Q24" s="166"/>
      <c r="R24" s="166"/>
      <c r="S24" s="166"/>
      <c r="T24" s="166"/>
      <c r="U24" s="166"/>
      <c r="V24" s="166"/>
      <c r="W24" s="166"/>
    </row>
    <row r="25" spans="2:36" s="10" customFormat="1" ht="15" customHeight="1" x14ac:dyDescent="0.2">
      <c r="K25" s="72"/>
      <c r="L25" s="72"/>
      <c r="M25" s="71"/>
    </row>
    <row r="26" spans="2:36" s="10" customFormat="1" ht="12.75" x14ac:dyDescent="0.2">
      <c r="K26" s="72"/>
      <c r="L26" s="72"/>
      <c r="M26" s="71"/>
    </row>
    <row r="27" spans="2:36" s="10" customFormat="1" ht="12.75" x14ac:dyDescent="0.2">
      <c r="K27" s="72"/>
      <c r="L27" s="72"/>
      <c r="M27" s="71"/>
      <c r="AA27" s="261"/>
      <c r="AB27" s="261"/>
      <c r="AC27" s="261"/>
      <c r="AD27" s="261"/>
      <c r="AE27" s="261"/>
      <c r="AF27" s="261"/>
      <c r="AG27" s="261"/>
      <c r="AH27" s="261"/>
      <c r="AI27" s="261"/>
      <c r="AJ27" s="261"/>
    </row>
    <row r="28" spans="2:36" s="10" customFormat="1" ht="12.75" x14ac:dyDescent="0.2">
      <c r="G28" s="244"/>
      <c r="H28" s="25"/>
      <c r="I28" s="244"/>
      <c r="K28" s="72"/>
      <c r="L28" s="72"/>
      <c r="M28" s="71"/>
      <c r="AA28" s="261"/>
      <c r="AB28" s="261"/>
      <c r="AC28" s="261"/>
      <c r="AD28" s="261"/>
      <c r="AE28" s="261"/>
      <c r="AF28" s="261"/>
      <c r="AG28" s="261"/>
      <c r="AH28" s="261"/>
      <c r="AI28" s="261"/>
      <c r="AJ28" s="261"/>
    </row>
    <row r="29" spans="2:36" s="24" customFormat="1" ht="12.75" x14ac:dyDescent="0.2">
      <c r="G29" s="257"/>
      <c r="H29" s="49"/>
      <c r="I29" s="244"/>
      <c r="W29" s="10"/>
      <c r="X29" s="10"/>
      <c r="Y29" s="10"/>
      <c r="Z29" s="10"/>
      <c r="AA29" s="259"/>
      <c r="AB29" s="259"/>
      <c r="AC29" s="259"/>
      <c r="AD29" s="259"/>
      <c r="AE29" s="259"/>
      <c r="AF29" s="259"/>
      <c r="AG29" s="259"/>
      <c r="AH29" s="259"/>
      <c r="AI29" s="259"/>
      <c r="AJ29" s="259"/>
    </row>
    <row r="30" spans="2:36" x14ac:dyDescent="0.25">
      <c r="G30" s="258"/>
      <c r="H30" s="254"/>
      <c r="I30" s="244"/>
      <c r="O30" s="269"/>
      <c r="W30" s="10"/>
      <c r="X30" s="10"/>
      <c r="Y30" s="10"/>
      <c r="Z30" s="10"/>
      <c r="AA30" s="260"/>
      <c r="AB30" s="260"/>
      <c r="AC30" s="260"/>
      <c r="AD30" s="260"/>
      <c r="AE30" s="260"/>
      <c r="AF30" s="260"/>
      <c r="AG30" s="260"/>
      <c r="AH30" s="260"/>
      <c r="AI30" s="260"/>
      <c r="AJ30" s="260"/>
    </row>
  </sheetData>
  <pageMargins left="0.7" right="0.7" top="0.75" bottom="0.75" header="0.3" footer="0.3"/>
  <pageSetup paperSize="9"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
  <sheetViews>
    <sheetView topLeftCell="A1048576" zoomScale="80" zoomScaleNormal="80" workbookViewId="0">
      <selection activeCell="D1048576" sqref="D1048576"/>
    </sheetView>
  </sheetViews>
  <sheetFormatPr defaultRowHeight="15" zeroHeight="1" x14ac:dyDescent="0.25"/>
  <sheetData>
    <row r="1" hidden="1"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53"/>
  <sheetViews>
    <sheetView showGridLines="0" zoomScale="80" zoomScaleNormal="80" workbookViewId="0">
      <pane ySplit="6" topLeftCell="A7" activePane="bottomLeft" state="frozen"/>
      <selection activeCell="D212" sqref="D212"/>
      <selection pane="bottomLeft" activeCell="K51" sqref="K51"/>
    </sheetView>
  </sheetViews>
  <sheetFormatPr defaultColWidth="9.140625" defaultRowHeight="12.75" x14ac:dyDescent="0.2"/>
  <cols>
    <col min="1" max="1" width="18" style="81" bestFit="1" customWidth="1"/>
    <col min="2" max="2" width="11" style="18" customWidth="1"/>
    <col min="3" max="3" width="52.28515625" style="18" customWidth="1"/>
    <col min="4" max="4" width="6.5703125" style="18" bestFit="1" customWidth="1"/>
    <col min="5" max="5" width="7.5703125" style="18" customWidth="1"/>
    <col min="6" max="6" width="12" style="18" bestFit="1" customWidth="1"/>
    <col min="7" max="7" width="10.5703125" style="18" bestFit="1" customWidth="1"/>
    <col min="8" max="8" width="10" style="18" bestFit="1" customWidth="1"/>
    <col min="9" max="9" width="10.7109375" style="18" bestFit="1" customWidth="1"/>
    <col min="10" max="10" width="6.28515625" style="18" customWidth="1"/>
    <col min="11" max="11" width="94.85546875" style="18" bestFit="1" customWidth="1"/>
    <col min="12" max="16384" width="9.140625" style="18"/>
  </cols>
  <sheetData>
    <row r="1" spans="1:18" s="10" customFormat="1" x14ac:dyDescent="0.2">
      <c r="A1" s="81"/>
      <c r="I1" s="17"/>
      <c r="J1" s="17"/>
      <c r="K1" s="17"/>
      <c r="L1" s="17"/>
      <c r="M1" s="17"/>
    </row>
    <row r="2" spans="1:18" s="10" customFormat="1" x14ac:dyDescent="0.2">
      <c r="A2" s="81"/>
      <c r="B2" s="10" t="s">
        <v>0</v>
      </c>
      <c r="C2" s="12" t="str">
        <f ca="1">MID(CELL("filename",A1),FIND("]",CELL("filename",A1))+1,256)</f>
        <v>Inputs_General</v>
      </c>
      <c r="I2" s="17"/>
      <c r="J2" s="17"/>
      <c r="K2" s="17"/>
      <c r="L2" s="17"/>
      <c r="M2" s="17"/>
    </row>
    <row r="3" spans="1:18" s="10" customFormat="1" x14ac:dyDescent="0.2">
      <c r="A3" s="81"/>
      <c r="B3" s="10" t="s">
        <v>1</v>
      </c>
      <c r="C3" s="10" t="s">
        <v>137</v>
      </c>
      <c r="I3" s="17"/>
      <c r="J3" s="17"/>
      <c r="K3" s="17"/>
      <c r="L3" s="17"/>
      <c r="M3" s="17"/>
    </row>
    <row r="4" spans="1:18" s="10" customFormat="1" x14ac:dyDescent="0.2">
      <c r="A4" s="81"/>
      <c r="I4" s="17"/>
      <c r="J4" s="17"/>
      <c r="K4" s="17"/>
      <c r="L4" s="17"/>
      <c r="M4" s="17"/>
    </row>
    <row r="5" spans="1:18" x14ac:dyDescent="0.2">
      <c r="B5" s="263"/>
      <c r="C5" s="263"/>
      <c r="D5" s="263"/>
      <c r="E5" s="263"/>
      <c r="F5" s="710" t="s">
        <v>125</v>
      </c>
      <c r="G5" s="710"/>
      <c r="H5" s="710"/>
      <c r="I5" s="710"/>
      <c r="J5" s="263"/>
      <c r="K5" s="263"/>
    </row>
    <row r="6" spans="1:18" s="19" customFormat="1" x14ac:dyDescent="0.2">
      <c r="A6" s="80"/>
      <c r="B6" s="19" t="s">
        <v>27</v>
      </c>
      <c r="C6" s="19" t="s">
        <v>28</v>
      </c>
      <c r="D6" s="19" t="s">
        <v>29</v>
      </c>
      <c r="G6" s="19" t="s">
        <v>131</v>
      </c>
      <c r="K6" s="26" t="s">
        <v>64</v>
      </c>
    </row>
    <row r="7" spans="1:18" s="16" customFormat="1" x14ac:dyDescent="0.2">
      <c r="A7" s="49"/>
      <c r="J7" s="20"/>
      <c r="K7" s="20"/>
      <c r="R7" s="20"/>
    </row>
    <row r="8" spans="1:18" s="16" customFormat="1" x14ac:dyDescent="0.2">
      <c r="A8" s="49"/>
      <c r="B8" s="77" t="s">
        <v>54</v>
      </c>
      <c r="C8" s="77"/>
      <c r="D8" s="77"/>
      <c r="E8" s="77"/>
      <c r="F8" s="77"/>
      <c r="G8" s="77"/>
      <c r="H8" s="77"/>
      <c r="I8" s="77"/>
      <c r="J8" s="78"/>
      <c r="K8" s="78"/>
      <c r="R8" s="20"/>
    </row>
    <row r="9" spans="1:18" s="10" customFormat="1" x14ac:dyDescent="0.2">
      <c r="A9" s="81"/>
      <c r="J9" s="35"/>
      <c r="K9" s="35"/>
      <c r="L9" s="35"/>
      <c r="M9" s="35"/>
      <c r="N9" s="35"/>
      <c r="O9" s="35"/>
      <c r="P9" s="35"/>
      <c r="Q9" s="35"/>
      <c r="R9" s="36"/>
    </row>
    <row r="10" spans="1:18" s="10" customFormat="1" x14ac:dyDescent="0.2">
      <c r="A10" s="81"/>
      <c r="B10" s="12" t="s">
        <v>80</v>
      </c>
      <c r="K10" s="11"/>
      <c r="O10" s="27"/>
      <c r="P10" s="27"/>
      <c r="R10" s="28"/>
    </row>
    <row r="11" spans="1:18" s="10" customFormat="1" x14ac:dyDescent="0.2">
      <c r="A11" s="81"/>
      <c r="C11" s="10" t="s">
        <v>81</v>
      </c>
      <c r="D11" s="10" t="s">
        <v>48</v>
      </c>
      <c r="F11" s="165"/>
      <c r="G11" s="179">
        <v>50</v>
      </c>
      <c r="H11" s="165"/>
      <c r="K11" s="75" t="s">
        <v>463</v>
      </c>
      <c r="M11" s="70"/>
      <c r="N11" s="70"/>
      <c r="O11" s="27"/>
      <c r="P11" s="27"/>
      <c r="R11" s="28"/>
    </row>
    <row r="12" spans="1:18" s="10" customFormat="1" x14ac:dyDescent="0.2">
      <c r="A12" s="81"/>
      <c r="C12" s="10" t="s">
        <v>82</v>
      </c>
      <c r="D12" s="10" t="s">
        <v>48</v>
      </c>
      <c r="F12" s="165"/>
      <c r="G12" s="179">
        <v>11</v>
      </c>
      <c r="H12" s="165"/>
      <c r="K12" s="75" t="s">
        <v>462</v>
      </c>
      <c r="M12" s="70"/>
      <c r="O12" s="27"/>
      <c r="P12" s="27"/>
      <c r="R12" s="28"/>
    </row>
    <row r="13" spans="1:18" s="10" customFormat="1" x14ac:dyDescent="0.2">
      <c r="A13" s="81"/>
      <c r="C13" s="10" t="s">
        <v>83</v>
      </c>
      <c r="D13" s="10" t="s">
        <v>48</v>
      </c>
      <c r="F13" s="165"/>
      <c r="G13" s="179">
        <v>4</v>
      </c>
      <c r="H13" s="165"/>
      <c r="K13" s="75" t="s">
        <v>464</v>
      </c>
      <c r="M13" s="70"/>
      <c r="N13" s="70"/>
      <c r="R13" s="11"/>
    </row>
    <row r="14" spans="1:18" s="10" customFormat="1" x14ac:dyDescent="0.2">
      <c r="A14" s="81"/>
      <c r="C14" s="10" t="s">
        <v>90</v>
      </c>
      <c r="D14" s="10" t="s">
        <v>48</v>
      </c>
      <c r="F14" s="165"/>
      <c r="G14" s="179">
        <v>5</v>
      </c>
      <c r="H14" s="165"/>
      <c r="K14" s="75" t="s">
        <v>373</v>
      </c>
      <c r="M14" s="70"/>
      <c r="N14" s="70"/>
      <c r="R14" s="11"/>
    </row>
    <row r="15" spans="1:18" s="10" customFormat="1" x14ac:dyDescent="0.2">
      <c r="A15" s="81"/>
      <c r="F15" s="166"/>
      <c r="H15" s="166"/>
      <c r="K15" s="70"/>
      <c r="L15" s="70"/>
      <c r="M15" s="70"/>
      <c r="N15" s="70"/>
      <c r="R15" s="11"/>
    </row>
    <row r="16" spans="1:18" s="10" customFormat="1" x14ac:dyDescent="0.2">
      <c r="A16" s="81"/>
      <c r="B16" s="77" t="s">
        <v>530</v>
      </c>
      <c r="C16" s="77"/>
      <c r="D16" s="77"/>
      <c r="E16" s="77"/>
      <c r="F16" s="77"/>
      <c r="G16" s="77"/>
      <c r="H16" s="77"/>
      <c r="I16" s="77"/>
      <c r="J16" s="77"/>
      <c r="K16" s="78"/>
      <c r="L16" s="70"/>
      <c r="M16" s="70"/>
      <c r="N16" s="70"/>
      <c r="R16" s="11"/>
    </row>
    <row r="17" spans="1:18" s="10" customFormat="1" x14ac:dyDescent="0.2">
      <c r="A17" s="81"/>
      <c r="F17" s="166"/>
      <c r="H17" s="166"/>
      <c r="K17" s="70"/>
      <c r="L17" s="70"/>
      <c r="M17" s="70"/>
      <c r="N17" s="70"/>
      <c r="R17" s="11"/>
    </row>
    <row r="18" spans="1:18" s="10" customFormat="1" x14ac:dyDescent="0.2">
      <c r="A18" s="81"/>
      <c r="B18" s="12" t="s">
        <v>525</v>
      </c>
      <c r="F18" s="166"/>
      <c r="H18" s="166"/>
      <c r="K18" s="70"/>
      <c r="L18" s="70"/>
      <c r="M18" s="70"/>
      <c r="N18" s="70"/>
      <c r="R18" s="11"/>
    </row>
    <row r="19" spans="1:18" s="10" customFormat="1" x14ac:dyDescent="0.2">
      <c r="A19" s="81"/>
      <c r="C19" s="10" t="s">
        <v>527</v>
      </c>
      <c r="D19" s="10" t="s">
        <v>526</v>
      </c>
      <c r="F19" s="166"/>
      <c r="G19" s="304">
        <v>8</v>
      </c>
      <c r="H19" s="166"/>
      <c r="K19" s="75" t="s">
        <v>532</v>
      </c>
      <c r="L19" s="70"/>
      <c r="M19" s="70"/>
      <c r="N19" s="70"/>
      <c r="R19" s="11"/>
    </row>
    <row r="20" spans="1:18" s="10" customFormat="1" x14ac:dyDescent="0.2">
      <c r="A20" s="81"/>
      <c r="C20" s="10" t="s">
        <v>528</v>
      </c>
      <c r="D20" s="10" t="s">
        <v>61</v>
      </c>
      <c r="F20" s="166"/>
      <c r="G20" s="304">
        <v>240</v>
      </c>
      <c r="H20" s="166"/>
      <c r="K20" s="75" t="s">
        <v>531</v>
      </c>
      <c r="L20" s="70"/>
      <c r="M20" s="70"/>
      <c r="N20" s="70"/>
      <c r="R20" s="11"/>
    </row>
    <row r="21" spans="1:18" s="10" customFormat="1" x14ac:dyDescent="0.2">
      <c r="A21" s="81"/>
      <c r="C21" s="10" t="s">
        <v>529</v>
      </c>
      <c r="D21" s="10" t="s">
        <v>52</v>
      </c>
      <c r="F21" s="166"/>
      <c r="G21" s="304">
        <v>60</v>
      </c>
      <c r="H21" s="166"/>
      <c r="K21" s="75"/>
      <c r="L21" s="70"/>
      <c r="M21" s="70"/>
      <c r="N21" s="70"/>
      <c r="R21" s="11"/>
    </row>
    <row r="22" spans="1:18" s="10" customFormat="1" x14ac:dyDescent="0.2">
      <c r="A22" s="81"/>
      <c r="F22" s="166"/>
      <c r="H22" s="166"/>
      <c r="K22" s="70"/>
      <c r="L22" s="70"/>
      <c r="M22" s="70"/>
      <c r="N22" s="70"/>
      <c r="R22" s="11"/>
    </row>
    <row r="23" spans="1:18" s="16" customFormat="1" x14ac:dyDescent="0.2">
      <c r="A23" s="49"/>
      <c r="B23" s="77" t="s">
        <v>55</v>
      </c>
      <c r="C23" s="77"/>
      <c r="D23" s="77"/>
      <c r="E23" s="77"/>
      <c r="F23" s="77"/>
      <c r="G23" s="77"/>
      <c r="H23" s="77"/>
      <c r="I23" s="77"/>
      <c r="J23" s="77"/>
      <c r="K23" s="78"/>
      <c r="R23" s="20"/>
    </row>
    <row r="24" spans="1:18" x14ac:dyDescent="0.2">
      <c r="B24" s="263"/>
      <c r="C24" s="263"/>
      <c r="D24" s="263"/>
      <c r="E24" s="263"/>
      <c r="F24" s="265"/>
      <c r="G24" s="263"/>
      <c r="H24" s="265"/>
      <c r="I24" s="263"/>
      <c r="J24" s="263"/>
      <c r="K24" s="263"/>
    </row>
    <row r="25" spans="1:18" x14ac:dyDescent="0.2">
      <c r="B25" s="24" t="s">
        <v>84</v>
      </c>
      <c r="C25" s="263"/>
      <c r="D25" s="24"/>
      <c r="E25" s="24"/>
      <c r="F25" s="41"/>
      <c r="G25" s="263"/>
      <c r="H25" s="265"/>
      <c r="I25" s="263"/>
      <c r="J25" s="263"/>
      <c r="K25" s="263"/>
    </row>
    <row r="26" spans="1:18" x14ac:dyDescent="0.2">
      <c r="A26" s="185" t="s">
        <v>347</v>
      </c>
      <c r="B26" s="264"/>
      <c r="C26" s="92" t="s">
        <v>74</v>
      </c>
      <c r="D26" s="93" t="s">
        <v>75</v>
      </c>
      <c r="E26" s="93"/>
      <c r="F26" s="168"/>
      <c r="G26" s="181">
        <v>0.24</v>
      </c>
      <c r="H26" s="45"/>
      <c r="I26" s="263"/>
      <c r="J26" s="50"/>
      <c r="K26" s="75" t="s">
        <v>374</v>
      </c>
    </row>
    <row r="27" spans="1:18" ht="27.75" customHeight="1" x14ac:dyDescent="0.2">
      <c r="A27" s="346"/>
      <c r="B27" s="264"/>
      <c r="C27" s="92" t="s">
        <v>297</v>
      </c>
      <c r="D27" s="93" t="s">
        <v>300</v>
      </c>
      <c r="E27" s="93"/>
      <c r="F27" s="168"/>
      <c r="G27" s="204">
        <v>50000</v>
      </c>
      <c r="H27" s="45"/>
      <c r="I27" s="263"/>
      <c r="J27" s="50"/>
      <c r="K27" s="75" t="s">
        <v>298</v>
      </c>
    </row>
    <row r="28" spans="1:18" ht="25.5" x14ac:dyDescent="0.2">
      <c r="A28" s="346"/>
      <c r="B28" s="264"/>
      <c r="C28" s="205" t="s">
        <v>278</v>
      </c>
      <c r="D28" s="93"/>
      <c r="E28" s="93"/>
      <c r="F28" s="168"/>
      <c r="G28" s="181">
        <v>1.6</v>
      </c>
      <c r="H28" s="45"/>
      <c r="I28" s="263"/>
      <c r="J28" s="50"/>
      <c r="K28" s="75" t="s">
        <v>346</v>
      </c>
    </row>
    <row r="29" spans="1:18" x14ac:dyDescent="0.2">
      <c r="A29" s="185" t="s">
        <v>344</v>
      </c>
      <c r="B29" s="264"/>
      <c r="C29" s="92" t="s">
        <v>76</v>
      </c>
      <c r="D29" s="93" t="s">
        <v>75</v>
      </c>
      <c r="E29" s="93"/>
      <c r="F29" s="263"/>
      <c r="G29" s="184">
        <f>$G$27*$G$28/work_days_year/hrs_day_shift/mins_hr</f>
        <v>0.69444444444444442</v>
      </c>
      <c r="H29" s="45"/>
      <c r="I29" s="263"/>
      <c r="J29" s="25"/>
      <c r="K29" s="75" t="s">
        <v>299</v>
      </c>
    </row>
    <row r="30" spans="1:18" ht="27.75" customHeight="1" x14ac:dyDescent="0.2">
      <c r="A30" s="185" t="s">
        <v>345</v>
      </c>
      <c r="B30" s="264"/>
      <c r="C30" s="92" t="s">
        <v>128</v>
      </c>
      <c r="D30" s="93" t="s">
        <v>60</v>
      </c>
      <c r="E30" s="93"/>
      <c r="F30" s="165"/>
      <c r="G30" s="181">
        <v>500</v>
      </c>
      <c r="H30" s="165"/>
      <c r="I30" s="263"/>
      <c r="J30" s="263"/>
      <c r="K30" s="107" t="s">
        <v>65</v>
      </c>
    </row>
    <row r="31" spans="1:18" s="263" customFormat="1" x14ac:dyDescent="0.2">
      <c r="A31" s="185" t="s">
        <v>496</v>
      </c>
      <c r="B31" s="264"/>
      <c r="C31" s="92" t="s">
        <v>495</v>
      </c>
      <c r="D31" s="93" t="s">
        <v>48</v>
      </c>
      <c r="E31" s="93"/>
      <c r="F31" s="165"/>
      <c r="G31" s="181">
        <v>12</v>
      </c>
      <c r="H31" s="165"/>
      <c r="K31" s="75" t="s">
        <v>445</v>
      </c>
    </row>
    <row r="32" spans="1:18" s="21" customFormat="1" x14ac:dyDescent="0.2">
      <c r="A32" s="347"/>
      <c r="B32" s="264"/>
      <c r="C32" s="92"/>
      <c r="D32" s="93"/>
      <c r="E32" s="93"/>
      <c r="F32" s="94"/>
      <c r="G32" s="94"/>
      <c r="H32" s="45"/>
      <c r="I32" s="94"/>
      <c r="J32" s="264"/>
      <c r="K32" s="95"/>
    </row>
    <row r="33" spans="1:11" x14ac:dyDescent="0.2">
      <c r="A33" s="185" t="s">
        <v>277</v>
      </c>
      <c r="B33" s="77" t="s">
        <v>273</v>
      </c>
      <c r="C33" s="77"/>
      <c r="D33" s="77" t="s">
        <v>274</v>
      </c>
      <c r="E33" s="77"/>
      <c r="F33" s="77" t="s">
        <v>123</v>
      </c>
      <c r="G33" s="77" t="s">
        <v>124</v>
      </c>
      <c r="H33" s="77"/>
      <c r="I33" s="77" t="s">
        <v>131</v>
      </c>
      <c r="J33" s="78"/>
      <c r="K33" s="83"/>
    </row>
    <row r="34" spans="1:11" ht="13.5" thickBot="1" x14ac:dyDescent="0.25">
      <c r="A34" s="185"/>
      <c r="B34" s="264"/>
      <c r="C34" s="76"/>
      <c r="D34" s="264"/>
      <c r="E34" s="264"/>
      <c r="F34" s="264"/>
      <c r="G34" s="263"/>
      <c r="H34" s="263"/>
      <c r="I34" s="263"/>
      <c r="J34" s="263"/>
      <c r="K34" s="83"/>
    </row>
    <row r="35" spans="1:11" ht="13.5" thickBot="1" x14ac:dyDescent="0.25">
      <c r="A35" s="185" t="s">
        <v>276</v>
      </c>
      <c r="B35" s="149"/>
      <c r="C35" s="272" t="s">
        <v>43</v>
      </c>
      <c r="D35" s="344" t="str">
        <f>Model_Config!E13</f>
        <v>Baseline</v>
      </c>
      <c r="E35" s="264"/>
      <c r="F35" s="219">
        <v>-0.2</v>
      </c>
      <c r="G35" s="219">
        <v>0.2</v>
      </c>
      <c r="H35" s="263"/>
      <c r="I35" s="222">
        <f>IF($D35="High",G35,IF($D35="Low",F35,0%))</f>
        <v>0</v>
      </c>
      <c r="J35" s="263"/>
      <c r="K35" s="75"/>
    </row>
    <row r="36" spans="1:11" ht="13.5" thickBot="1" x14ac:dyDescent="0.25">
      <c r="A36" s="185" t="s">
        <v>451</v>
      </c>
      <c r="B36" s="149"/>
      <c r="C36" s="272" t="s">
        <v>450</v>
      </c>
      <c r="D36" s="344" t="str">
        <f>Model_Config!E14</f>
        <v>Baseline</v>
      </c>
      <c r="E36" s="264"/>
      <c r="F36" s="219">
        <v>-0.2</v>
      </c>
      <c r="G36" s="219">
        <v>0.2</v>
      </c>
      <c r="H36" s="263"/>
      <c r="I36" s="222">
        <f>IF($D36="High",G36,IF($D36="Low",F36,0%))</f>
        <v>0</v>
      </c>
      <c r="J36" s="263"/>
      <c r="K36" s="276"/>
    </row>
    <row r="37" spans="1:11" x14ac:dyDescent="0.2">
      <c r="A37" s="185"/>
      <c r="B37" s="263"/>
      <c r="C37" s="263"/>
      <c r="D37" s="263"/>
      <c r="E37" s="264"/>
      <c r="F37" s="220"/>
      <c r="G37" s="221"/>
      <c r="H37" s="263"/>
      <c r="I37" s="345"/>
      <c r="J37" s="263"/>
      <c r="K37" s="83"/>
    </row>
    <row r="38" spans="1:11" ht="13.5" thickBot="1" x14ac:dyDescent="0.25">
      <c r="A38" s="185"/>
      <c r="B38" s="149"/>
      <c r="C38" s="272" t="s">
        <v>266</v>
      </c>
      <c r="D38" s="312"/>
      <c r="E38" s="264"/>
      <c r="F38" s="220"/>
      <c r="G38" s="221"/>
      <c r="H38" s="263"/>
      <c r="I38" s="223"/>
      <c r="J38" s="263"/>
      <c r="K38" s="83"/>
    </row>
    <row r="39" spans="1:11" x14ac:dyDescent="0.2">
      <c r="A39" s="185" t="s">
        <v>332</v>
      </c>
      <c r="B39" s="163"/>
      <c r="C39" s="313" t="s">
        <v>261</v>
      </c>
      <c r="D39" s="344" t="str">
        <f>Model_Config!E19</f>
        <v>Baseline</v>
      </c>
      <c r="E39" s="264"/>
      <c r="F39" s="219">
        <v>-0.2</v>
      </c>
      <c r="G39" s="219">
        <v>0.2</v>
      </c>
      <c r="H39" s="263"/>
      <c r="I39" s="224">
        <f>IF($D39="High",G39,IF($D39="Low",F39,0%))</f>
        <v>0</v>
      </c>
      <c r="J39" s="263"/>
      <c r="K39" s="75"/>
    </row>
    <row r="40" spans="1:11" x14ac:dyDescent="0.2">
      <c r="A40" s="185" t="s">
        <v>351</v>
      </c>
      <c r="B40" s="163"/>
      <c r="C40" s="313" t="s">
        <v>350</v>
      </c>
      <c r="D40" s="344" t="str">
        <f>Model_Config!E20</f>
        <v>Baseline</v>
      </c>
      <c r="E40" s="264"/>
      <c r="F40" s="219">
        <v>-0.2</v>
      </c>
      <c r="G40" s="219">
        <v>0.2</v>
      </c>
      <c r="H40" s="263"/>
      <c r="I40" s="225">
        <f t="shared" ref="I40:I46" si="0">IF($D40="High",G40,IF($D40="Low",F40,0%))</f>
        <v>0</v>
      </c>
      <c r="J40" s="263"/>
      <c r="K40" s="75"/>
    </row>
    <row r="41" spans="1:11" x14ac:dyDescent="0.2">
      <c r="A41" s="185" t="s">
        <v>333</v>
      </c>
      <c r="B41" s="163"/>
      <c r="C41" s="313" t="s">
        <v>267</v>
      </c>
      <c r="D41" s="344" t="str">
        <f>Model_Config!E21</f>
        <v>Baseline</v>
      </c>
      <c r="E41" s="264"/>
      <c r="F41" s="219">
        <v>-0.2</v>
      </c>
      <c r="G41" s="219">
        <v>0.2</v>
      </c>
      <c r="H41" s="263"/>
      <c r="I41" s="225">
        <f t="shared" si="0"/>
        <v>0</v>
      </c>
      <c r="J41" s="263"/>
      <c r="K41" s="75"/>
    </row>
    <row r="42" spans="1:11" x14ac:dyDescent="0.2">
      <c r="A42" s="185" t="s">
        <v>334</v>
      </c>
      <c r="B42" s="163"/>
      <c r="C42" s="313" t="s">
        <v>272</v>
      </c>
      <c r="D42" s="344" t="str">
        <f>Model_Config!E22</f>
        <v>Baseline</v>
      </c>
      <c r="E42" s="264"/>
      <c r="F42" s="219">
        <v>-0.2</v>
      </c>
      <c r="G42" s="219">
        <v>0.2</v>
      </c>
      <c r="H42" s="263"/>
      <c r="I42" s="225">
        <f t="shared" si="0"/>
        <v>0</v>
      </c>
      <c r="J42" s="263"/>
      <c r="K42" s="75"/>
    </row>
    <row r="43" spans="1:11" x14ac:dyDescent="0.2">
      <c r="A43" s="185" t="s">
        <v>335</v>
      </c>
      <c r="B43" s="163"/>
      <c r="C43" s="313" t="s">
        <v>268</v>
      </c>
      <c r="D43" s="344" t="str">
        <f>Model_Config!E23</f>
        <v>Baseline</v>
      </c>
      <c r="E43" s="264"/>
      <c r="F43" s="219">
        <v>-0.2</v>
      </c>
      <c r="G43" s="219">
        <v>0.2</v>
      </c>
      <c r="H43" s="263"/>
      <c r="I43" s="225">
        <f t="shared" si="0"/>
        <v>0</v>
      </c>
      <c r="J43" s="263"/>
      <c r="K43" s="75"/>
    </row>
    <row r="44" spans="1:11" x14ac:dyDescent="0.2">
      <c r="A44" s="185" t="s">
        <v>336</v>
      </c>
      <c r="B44" s="163"/>
      <c r="C44" s="313" t="s">
        <v>269</v>
      </c>
      <c r="D44" s="344" t="str">
        <f>Model_Config!E24</f>
        <v>Baseline</v>
      </c>
      <c r="E44" s="264"/>
      <c r="F44" s="219">
        <v>-0.2</v>
      </c>
      <c r="G44" s="219">
        <v>0.2</v>
      </c>
      <c r="H44" s="263"/>
      <c r="I44" s="225">
        <f t="shared" si="0"/>
        <v>0</v>
      </c>
      <c r="J44" s="263"/>
      <c r="K44" s="75"/>
    </row>
    <row r="45" spans="1:11" x14ac:dyDescent="0.2">
      <c r="A45" s="185" t="s">
        <v>337</v>
      </c>
      <c r="B45" s="163"/>
      <c r="C45" s="313" t="s">
        <v>271</v>
      </c>
      <c r="D45" s="344" t="str">
        <f>Model_Config!E25</f>
        <v>Baseline</v>
      </c>
      <c r="E45" s="264"/>
      <c r="F45" s="219">
        <v>-0.2</v>
      </c>
      <c r="G45" s="219">
        <v>0.2</v>
      </c>
      <c r="H45" s="263"/>
      <c r="I45" s="225">
        <f t="shared" si="0"/>
        <v>0</v>
      </c>
      <c r="J45" s="263"/>
      <c r="K45" s="75"/>
    </row>
    <row r="46" spans="1:11" ht="13.5" thickBot="1" x14ac:dyDescent="0.25">
      <c r="A46" s="185" t="s">
        <v>338</v>
      </c>
      <c r="B46" s="163"/>
      <c r="C46" s="313" t="s">
        <v>270</v>
      </c>
      <c r="D46" s="344" t="str">
        <f>Model_Config!E26</f>
        <v>Baseline</v>
      </c>
      <c r="E46" s="264"/>
      <c r="F46" s="219">
        <v>-0.2</v>
      </c>
      <c r="G46" s="219">
        <v>0.2</v>
      </c>
      <c r="H46" s="263"/>
      <c r="I46" s="226">
        <f t="shared" si="0"/>
        <v>0</v>
      </c>
      <c r="J46" s="263"/>
      <c r="K46" s="75"/>
    </row>
    <row r="47" spans="1:11" x14ac:dyDescent="0.2">
      <c r="A47" s="185"/>
      <c r="B47" s="264"/>
      <c r="C47" s="76"/>
      <c r="D47" s="264"/>
      <c r="E47" s="264"/>
      <c r="F47" s="264"/>
      <c r="G47" s="263"/>
      <c r="H47" s="263"/>
      <c r="I47" s="263"/>
      <c r="J47" s="263"/>
      <c r="K47" s="83"/>
    </row>
    <row r="48" spans="1:11" x14ac:dyDescent="0.2">
      <c r="A48" s="185"/>
      <c r="B48" s="77" t="s">
        <v>304</v>
      </c>
      <c r="C48" s="77"/>
      <c r="D48" s="77" t="s">
        <v>66</v>
      </c>
      <c r="E48" s="77"/>
      <c r="F48" s="77"/>
      <c r="G48" s="77" t="s">
        <v>131</v>
      </c>
      <c r="H48" s="77"/>
      <c r="I48" s="77"/>
      <c r="J48" s="78"/>
      <c r="K48" s="83"/>
    </row>
    <row r="49" spans="1:11" x14ac:dyDescent="0.2">
      <c r="A49" s="185"/>
      <c r="B49" s="158"/>
      <c r="C49" s="313"/>
      <c r="D49" s="312"/>
      <c r="E49" s="264"/>
      <c r="F49" s="264"/>
      <c r="G49" s="263"/>
      <c r="H49" s="263"/>
      <c r="I49" s="156"/>
      <c r="J49" s="263"/>
      <c r="K49" s="83"/>
    </row>
    <row r="50" spans="1:11" ht="25.5" x14ac:dyDescent="0.2">
      <c r="A50" s="185" t="s">
        <v>275</v>
      </c>
      <c r="B50" s="149"/>
      <c r="C50" s="272" t="s">
        <v>66</v>
      </c>
      <c r="D50" s="344" t="s">
        <v>49</v>
      </c>
      <c r="E50" s="264"/>
      <c r="F50" s="202"/>
      <c r="G50" s="251">
        <v>3.5000000000000003E-2</v>
      </c>
      <c r="H50" s="263"/>
      <c r="I50" s="263"/>
      <c r="J50" s="263"/>
      <c r="K50" s="250" t="s">
        <v>290</v>
      </c>
    </row>
    <row r="51" spans="1:11" ht="38.25" x14ac:dyDescent="0.2">
      <c r="A51" s="185" t="s">
        <v>293</v>
      </c>
      <c r="B51" s="149"/>
      <c r="C51" s="272" t="s">
        <v>293</v>
      </c>
      <c r="D51" s="344" t="s">
        <v>49</v>
      </c>
      <c r="E51" s="264"/>
      <c r="F51" s="202"/>
      <c r="G51" s="252">
        <v>0.08</v>
      </c>
      <c r="H51" s="263"/>
      <c r="I51" s="263"/>
      <c r="J51" s="263"/>
      <c r="K51" s="250" t="s">
        <v>375</v>
      </c>
    </row>
    <row r="52" spans="1:11" x14ac:dyDescent="0.2">
      <c r="A52" s="185" t="s">
        <v>382</v>
      </c>
      <c r="B52" s="149"/>
      <c r="C52" s="272" t="s">
        <v>294</v>
      </c>
      <c r="D52" s="344" t="s">
        <v>295</v>
      </c>
      <c r="E52" s="264"/>
      <c r="F52" s="202"/>
      <c r="G52" s="181">
        <v>10</v>
      </c>
      <c r="H52" s="263"/>
      <c r="I52" s="263"/>
      <c r="J52" s="263"/>
      <c r="K52" s="164"/>
    </row>
    <row r="53" spans="1:11" x14ac:dyDescent="0.2">
      <c r="B53" s="149"/>
      <c r="C53" s="150"/>
      <c r="D53" s="109"/>
      <c r="E53" s="21"/>
      <c r="F53" s="21"/>
      <c r="I53" s="46"/>
      <c r="K53" s="83"/>
    </row>
  </sheetData>
  <mergeCells count="1">
    <mergeCell ref="F5:I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56"/>
  <sheetViews>
    <sheetView showGridLines="0" topLeftCell="D1" zoomScale="80" zoomScaleNormal="80" workbookViewId="0">
      <selection activeCell="O21" sqref="O21"/>
    </sheetView>
  </sheetViews>
  <sheetFormatPr defaultRowHeight="12.75" x14ac:dyDescent="0.2"/>
  <cols>
    <col min="1" max="1" width="25" style="108" bestFit="1" customWidth="1"/>
    <col min="2" max="2" width="11.28515625" style="18" customWidth="1"/>
    <col min="3" max="3" width="71.7109375" style="18" customWidth="1"/>
    <col min="4" max="4" width="10.7109375" style="18" bestFit="1" customWidth="1"/>
    <col min="5" max="5" width="6.140625" style="18" bestFit="1" customWidth="1"/>
    <col min="6" max="6" width="3.85546875" style="18" customWidth="1"/>
    <col min="7" max="7" width="10.7109375" style="18" customWidth="1"/>
    <col min="8" max="8" width="3.5703125" style="39" customWidth="1"/>
    <col min="9" max="9" width="10.7109375" style="18" customWidth="1"/>
    <col min="10" max="10" width="3.42578125" style="18" customWidth="1"/>
    <col min="11" max="11" width="10.7109375" style="18" customWidth="1"/>
    <col min="12" max="12" width="3.5703125" style="18" customWidth="1"/>
    <col min="13" max="13" width="10.7109375" style="18" customWidth="1"/>
    <col min="14" max="14" width="5.42578125" style="18" customWidth="1"/>
    <col min="15" max="15" width="148.42578125" style="18" bestFit="1" customWidth="1"/>
    <col min="16" max="16384" width="9.140625" style="18"/>
  </cols>
  <sheetData>
    <row r="1" spans="1:20" x14ac:dyDescent="0.2">
      <c r="A1" s="18"/>
      <c r="B1" s="263"/>
      <c r="C1" s="263"/>
      <c r="D1" s="263"/>
      <c r="E1" s="263"/>
      <c r="F1" s="263"/>
      <c r="G1" s="265"/>
      <c r="H1" s="265"/>
      <c r="I1" s="263"/>
      <c r="J1" s="263"/>
      <c r="K1" s="263"/>
      <c r="L1" s="263"/>
      <c r="M1" s="263"/>
      <c r="N1" s="263"/>
      <c r="O1" s="264"/>
      <c r="P1" s="21"/>
      <c r="Q1" s="21"/>
      <c r="R1" s="21"/>
      <c r="S1" s="21"/>
      <c r="T1" s="21"/>
    </row>
    <row r="2" spans="1:20" s="51" customFormat="1" x14ac:dyDescent="0.2">
      <c r="B2" s="51" t="s">
        <v>0</v>
      </c>
      <c r="C2" s="52" t="str">
        <f ca="1">MID(CELL("filename",A1),FIND("]",CELL("filename",A1))+1,256)</f>
        <v>Inputs_Switching</v>
      </c>
      <c r="D2" s="52"/>
      <c r="E2" s="52"/>
      <c r="H2" s="82"/>
      <c r="O2" s="40"/>
      <c r="P2" s="62"/>
      <c r="Q2" s="62"/>
      <c r="R2" s="62"/>
      <c r="S2" s="62"/>
      <c r="T2" s="62"/>
    </row>
    <row r="3" spans="1:20" s="51" customFormat="1" x14ac:dyDescent="0.2">
      <c r="B3" s="51" t="s">
        <v>1</v>
      </c>
      <c r="C3" s="51" t="s">
        <v>433</v>
      </c>
      <c r="H3" s="91"/>
      <c r="O3" s="62"/>
      <c r="P3" s="62"/>
      <c r="Q3" s="62"/>
      <c r="R3" s="62"/>
      <c r="S3" s="62"/>
      <c r="T3" s="62"/>
    </row>
    <row r="4" spans="1:20" s="51" customFormat="1" x14ac:dyDescent="0.2">
      <c r="H4" s="91"/>
      <c r="O4" s="62"/>
      <c r="P4" s="60"/>
      <c r="Q4" s="62"/>
      <c r="R4" s="62"/>
      <c r="S4" s="62"/>
      <c r="T4" s="62"/>
    </row>
    <row r="5" spans="1:20" s="85" customFormat="1" x14ac:dyDescent="0.2">
      <c r="A5" s="53"/>
      <c r="B5" s="53"/>
      <c r="C5" s="53" t="s">
        <v>28</v>
      </c>
      <c r="D5" s="19" t="s">
        <v>29</v>
      </c>
      <c r="E5" s="19"/>
      <c r="F5" s="110"/>
      <c r="G5" s="110"/>
      <c r="H5" s="113"/>
      <c r="I5" s="110"/>
      <c r="J5" s="110"/>
      <c r="K5" s="110"/>
      <c r="L5" s="110"/>
      <c r="M5" s="110"/>
      <c r="N5" s="26"/>
      <c r="O5" s="26" t="s">
        <v>73</v>
      </c>
      <c r="P5" s="86"/>
    </row>
    <row r="6" spans="1:20" x14ac:dyDescent="0.2">
      <c r="B6" s="263"/>
      <c r="C6" s="263"/>
      <c r="D6" s="263"/>
      <c r="E6" s="263"/>
      <c r="F6" s="263"/>
      <c r="G6" s="263"/>
      <c r="I6" s="263"/>
      <c r="J6" s="263"/>
      <c r="K6" s="263"/>
      <c r="L6" s="263"/>
      <c r="M6" s="263"/>
      <c r="N6" s="263"/>
      <c r="O6" s="263"/>
    </row>
    <row r="7" spans="1:20" x14ac:dyDescent="0.2">
      <c r="A7" s="185" t="s">
        <v>476</v>
      </c>
      <c r="B7" s="263"/>
      <c r="C7" s="263" t="s">
        <v>376</v>
      </c>
      <c r="D7" s="263" t="s">
        <v>49</v>
      </c>
      <c r="E7" s="242"/>
      <c r="F7" s="242"/>
      <c r="G7" s="182">
        <v>0.95</v>
      </c>
      <c r="I7" s="263"/>
      <c r="J7" s="263"/>
      <c r="K7" s="263"/>
      <c r="L7" s="263"/>
      <c r="M7" s="263"/>
      <c r="N7" s="263"/>
      <c r="O7" s="698" t="s">
        <v>537</v>
      </c>
    </row>
    <row r="8" spans="1:20" x14ac:dyDescent="0.2">
      <c r="A8" s="185" t="s">
        <v>475</v>
      </c>
      <c r="B8" s="263"/>
      <c r="C8" s="263" t="s">
        <v>355</v>
      </c>
      <c r="D8" s="263" t="s">
        <v>49</v>
      </c>
      <c r="E8" s="242"/>
      <c r="F8" s="242"/>
      <c r="G8" s="182">
        <v>0.05</v>
      </c>
      <c r="I8" s="263"/>
      <c r="J8" s="263"/>
      <c r="K8" s="263"/>
      <c r="L8" s="263"/>
      <c r="M8" s="263"/>
      <c r="N8" s="263"/>
      <c r="O8" s="698" t="s">
        <v>537</v>
      </c>
    </row>
    <row r="9" spans="1:20" x14ac:dyDescent="0.2">
      <c r="A9" s="185" t="s">
        <v>474</v>
      </c>
      <c r="B9" s="263"/>
      <c r="C9" s="263" t="s">
        <v>379</v>
      </c>
      <c r="D9" s="97" t="s">
        <v>48</v>
      </c>
      <c r="E9" s="263"/>
      <c r="F9" s="263"/>
      <c r="G9" s="227">
        <v>3</v>
      </c>
      <c r="I9" s="263"/>
      <c r="J9" s="263"/>
      <c r="K9" s="263"/>
      <c r="L9" s="263"/>
      <c r="M9" s="263"/>
      <c r="N9" s="263"/>
      <c r="O9" s="698" t="s">
        <v>378</v>
      </c>
    </row>
    <row r="10" spans="1:20" x14ac:dyDescent="0.2">
      <c r="A10" s="185" t="s">
        <v>473</v>
      </c>
      <c r="B10" s="263"/>
      <c r="C10" s="206" t="s">
        <v>377</v>
      </c>
      <c r="D10" s="97" t="s">
        <v>52</v>
      </c>
      <c r="E10" s="263"/>
      <c r="F10" s="263"/>
      <c r="G10" s="230">
        <v>12.2</v>
      </c>
      <c r="I10" s="263"/>
      <c r="J10" s="263"/>
      <c r="K10" s="263"/>
      <c r="L10" s="263"/>
      <c r="M10" s="263"/>
      <c r="N10" s="263"/>
      <c r="O10" s="698" t="s">
        <v>538</v>
      </c>
    </row>
    <row r="11" spans="1:20" x14ac:dyDescent="0.2">
      <c r="A11" s="185" t="s">
        <v>472</v>
      </c>
      <c r="B11" s="263"/>
      <c r="C11" s="206" t="s">
        <v>357</v>
      </c>
      <c r="D11" s="97" t="s">
        <v>52</v>
      </c>
      <c r="E11" s="263"/>
      <c r="F11" s="263"/>
      <c r="G11" s="230">
        <v>26.7</v>
      </c>
      <c r="I11" s="263"/>
      <c r="J11" s="263"/>
      <c r="K11" s="263"/>
      <c r="L11" s="263"/>
      <c r="M11" s="263"/>
      <c r="N11" s="263"/>
      <c r="O11" s="698" t="s">
        <v>538</v>
      </c>
    </row>
    <row r="12" spans="1:20" s="263" customFormat="1" x14ac:dyDescent="0.2">
      <c r="A12" s="185" t="s">
        <v>471</v>
      </c>
      <c r="C12" s="206" t="s">
        <v>470</v>
      </c>
      <c r="D12" s="97" t="s">
        <v>52</v>
      </c>
      <c r="G12" s="230">
        <v>1</v>
      </c>
      <c r="H12" s="39"/>
      <c r="O12" s="698" t="s">
        <v>538</v>
      </c>
    </row>
    <row r="13" spans="1:20" x14ac:dyDescent="0.2">
      <c r="A13" s="185" t="s">
        <v>477</v>
      </c>
      <c r="B13" s="263"/>
      <c r="C13" s="263" t="s">
        <v>356</v>
      </c>
      <c r="D13" s="97" t="s">
        <v>52</v>
      </c>
      <c r="E13" s="263"/>
      <c r="F13" s="263"/>
      <c r="G13" s="289">
        <f>perc_cancel_phone_DD*(agent_time_cancel_phone+agent_time_postcontact)+perc_cancel_webchat*((agent_time_cancel_webchat/active_live_chats)+agent_time_postcontact)</f>
        <v>13.034999999999998</v>
      </c>
      <c r="I13" s="300"/>
      <c r="J13" s="263"/>
      <c r="K13" s="263"/>
      <c r="L13" s="263"/>
      <c r="M13" s="263"/>
      <c r="N13" s="263"/>
      <c r="O13" s="698"/>
    </row>
    <row r="14" spans="1:20" x14ac:dyDescent="0.2">
      <c r="A14" s="185" t="s">
        <v>478</v>
      </c>
      <c r="B14" s="263"/>
      <c r="C14" s="263" t="s">
        <v>467</v>
      </c>
      <c r="D14" s="263" t="s">
        <v>49</v>
      </c>
      <c r="E14" s="263"/>
      <c r="F14" s="263"/>
      <c r="G14" s="182">
        <v>0.3</v>
      </c>
      <c r="I14" s="263"/>
      <c r="J14" s="263"/>
      <c r="K14" s="263"/>
      <c r="L14" s="263"/>
      <c r="M14" s="263"/>
      <c r="N14" s="263"/>
      <c r="O14" s="698" t="s">
        <v>539</v>
      </c>
    </row>
    <row r="15" spans="1:20" x14ac:dyDescent="0.2">
      <c r="A15" s="185" t="s">
        <v>479</v>
      </c>
      <c r="B15" s="263"/>
      <c r="C15" s="263" t="s">
        <v>468</v>
      </c>
      <c r="D15" s="263" t="s">
        <v>49</v>
      </c>
      <c r="E15" s="263"/>
      <c r="F15" s="263"/>
      <c r="G15" s="182">
        <v>0.05</v>
      </c>
      <c r="I15" s="263"/>
      <c r="J15" s="263"/>
      <c r="K15" s="263"/>
      <c r="L15" s="263"/>
      <c r="M15" s="263"/>
      <c r="N15" s="263"/>
      <c r="O15" s="698" t="s">
        <v>539</v>
      </c>
    </row>
    <row r="16" spans="1:20" x14ac:dyDescent="0.2">
      <c r="A16" s="185" t="s">
        <v>485</v>
      </c>
      <c r="B16" s="263"/>
      <c r="C16" s="10" t="s">
        <v>380</v>
      </c>
      <c r="D16" s="263" t="s">
        <v>49</v>
      </c>
      <c r="E16" s="263"/>
      <c r="F16" s="263"/>
      <c r="G16" s="182">
        <v>0.25</v>
      </c>
      <c r="I16" s="263"/>
      <c r="J16" s="263"/>
      <c r="K16" s="263"/>
      <c r="L16" s="263"/>
      <c r="M16" s="263"/>
      <c r="N16" s="263"/>
      <c r="O16" s="698" t="s">
        <v>539</v>
      </c>
    </row>
    <row r="17" spans="1:15" x14ac:dyDescent="0.2">
      <c r="A17" s="185" t="s">
        <v>480</v>
      </c>
      <c r="B17" s="263"/>
      <c r="C17" s="263" t="s">
        <v>361</v>
      </c>
      <c r="D17" s="263" t="s">
        <v>52</v>
      </c>
      <c r="E17" s="263"/>
      <c r="F17" s="263"/>
      <c r="G17" s="181">
        <v>1</v>
      </c>
      <c r="I17" s="263"/>
      <c r="J17" s="263"/>
      <c r="K17" s="263"/>
      <c r="L17" s="263"/>
      <c r="M17" s="263"/>
      <c r="N17" s="263"/>
      <c r="O17" s="698" t="s">
        <v>540</v>
      </c>
    </row>
    <row r="18" spans="1:15" x14ac:dyDescent="0.2">
      <c r="A18" s="185" t="s">
        <v>481</v>
      </c>
      <c r="B18" s="263"/>
      <c r="C18" s="263" t="s">
        <v>354</v>
      </c>
      <c r="D18" s="39" t="s">
        <v>52</v>
      </c>
      <c r="E18" s="263"/>
      <c r="F18" s="39"/>
      <c r="G18" s="181">
        <v>1</v>
      </c>
      <c r="I18" s="263"/>
      <c r="J18" s="263"/>
      <c r="K18" s="263"/>
      <c r="L18" s="263"/>
      <c r="M18" s="263"/>
      <c r="N18" s="263"/>
      <c r="O18" s="698" t="s">
        <v>540</v>
      </c>
    </row>
    <row r="19" spans="1:15" x14ac:dyDescent="0.2">
      <c r="A19" s="185" t="s">
        <v>484</v>
      </c>
      <c r="B19" s="263"/>
      <c r="C19" s="10" t="s">
        <v>253</v>
      </c>
      <c r="D19" s="263" t="s">
        <v>49</v>
      </c>
      <c r="E19" s="263"/>
      <c r="F19" s="263"/>
      <c r="G19" s="180">
        <v>0.55000000000000004</v>
      </c>
      <c r="I19" s="263"/>
      <c r="J19" s="263"/>
      <c r="K19" s="263"/>
      <c r="L19" s="263"/>
      <c r="M19" s="263"/>
      <c r="N19" s="263"/>
      <c r="O19" s="698" t="s">
        <v>540</v>
      </c>
    </row>
    <row r="20" spans="1:15" x14ac:dyDescent="0.2">
      <c r="A20" s="185" t="s">
        <v>482</v>
      </c>
      <c r="B20" s="263"/>
      <c r="C20" s="10" t="s">
        <v>281</v>
      </c>
      <c r="D20" s="263" t="s">
        <v>49</v>
      </c>
      <c r="E20" s="263"/>
      <c r="F20" s="263"/>
      <c r="G20" s="180">
        <v>0.7</v>
      </c>
      <c r="I20" s="263"/>
      <c r="J20" s="263"/>
      <c r="K20" s="263"/>
      <c r="L20" s="263"/>
      <c r="M20" s="263"/>
      <c r="N20" s="263"/>
      <c r="O20" s="698" t="s">
        <v>539</v>
      </c>
    </row>
    <row r="21" spans="1:15" x14ac:dyDescent="0.2">
      <c r="A21" s="185" t="s">
        <v>483</v>
      </c>
      <c r="B21" s="263"/>
      <c r="C21" s="106" t="s">
        <v>358</v>
      </c>
      <c r="D21" s="263" t="s">
        <v>49</v>
      </c>
      <c r="E21" s="263"/>
      <c r="F21" s="263"/>
      <c r="G21" s="180">
        <v>0.4</v>
      </c>
      <c r="I21" s="263"/>
      <c r="J21" s="263"/>
      <c r="K21" s="263"/>
      <c r="L21" s="263"/>
      <c r="M21" s="263"/>
      <c r="N21" s="263"/>
      <c r="O21" s="698" t="s">
        <v>539</v>
      </c>
    </row>
    <row r="22" spans="1:15" x14ac:dyDescent="0.2">
      <c r="B22" s="263"/>
      <c r="C22" s="24"/>
      <c r="D22" s="264"/>
      <c r="E22" s="264"/>
      <c r="F22" s="264"/>
      <c r="G22" s="263"/>
      <c r="I22" s="263"/>
      <c r="J22" s="263"/>
      <c r="K22" s="263"/>
      <c r="L22" s="263"/>
      <c r="M22" s="263"/>
      <c r="N22" s="263"/>
      <c r="O22" s="263"/>
    </row>
    <row r="23" spans="1:15" x14ac:dyDescent="0.2">
      <c r="B23" s="263"/>
      <c r="C23" s="10"/>
      <c r="D23" s="263"/>
      <c r="E23" s="263"/>
      <c r="F23" s="263"/>
      <c r="G23" s="263"/>
      <c r="I23" s="263"/>
      <c r="J23" s="263"/>
      <c r="K23" s="263"/>
      <c r="L23" s="263"/>
      <c r="M23" s="263"/>
      <c r="N23" s="263"/>
      <c r="O23" s="263"/>
    </row>
    <row r="24" spans="1:15" x14ac:dyDescent="0.2">
      <c r="B24" s="263"/>
      <c r="C24" s="22"/>
      <c r="D24" s="22"/>
      <c r="E24" s="263"/>
      <c r="F24" s="263"/>
      <c r="G24" s="711" t="s">
        <v>134</v>
      </c>
      <c r="H24" s="711"/>
      <c r="I24" s="711"/>
      <c r="J24" s="711"/>
      <c r="K24" s="711"/>
      <c r="L24" s="711"/>
      <c r="M24" s="711"/>
      <c r="N24" s="263"/>
      <c r="O24" s="263"/>
    </row>
    <row r="25" spans="1:15" ht="25.5" customHeight="1" x14ac:dyDescent="0.2">
      <c r="B25" s="22"/>
      <c r="C25" s="22" t="s">
        <v>360</v>
      </c>
      <c r="D25" s="22" t="s">
        <v>130</v>
      </c>
      <c r="E25" s="22" t="s">
        <v>107</v>
      </c>
      <c r="F25" s="263"/>
      <c r="G25" s="169" t="s">
        <v>176</v>
      </c>
      <c r="H25" s="111"/>
      <c r="I25" s="169" t="s">
        <v>177</v>
      </c>
      <c r="J25" s="111"/>
      <c r="K25" s="169" t="s">
        <v>533</v>
      </c>
      <c r="L25" s="111"/>
      <c r="M25" s="169" t="s">
        <v>534</v>
      </c>
      <c r="N25" s="263"/>
      <c r="O25" s="263"/>
    </row>
    <row r="26" spans="1:15" x14ac:dyDescent="0.2">
      <c r="B26" s="263"/>
      <c r="C26" s="263"/>
      <c r="D26" s="263"/>
      <c r="E26" s="263"/>
      <c r="F26" s="263"/>
      <c r="G26" s="263"/>
      <c r="I26" s="263"/>
      <c r="J26" s="263"/>
      <c r="K26" s="263"/>
      <c r="L26" s="263"/>
      <c r="M26" s="263"/>
      <c r="N26" s="263"/>
      <c r="O26" s="234"/>
    </row>
    <row r="27" spans="1:15" x14ac:dyDescent="0.2">
      <c r="B27" s="263"/>
      <c r="C27" s="10" t="s">
        <v>359</v>
      </c>
      <c r="D27" s="92"/>
      <c r="E27" s="263" t="s">
        <v>49</v>
      </c>
      <c r="F27" s="263"/>
      <c r="G27" s="232">
        <f>perc_using_GPL_process</f>
        <v>0.7</v>
      </c>
      <c r="H27" s="240"/>
      <c r="I27" s="232">
        <f>perc_using_GPL_process</f>
        <v>0.7</v>
      </c>
      <c r="J27" s="32"/>
      <c r="K27" s="232">
        <f>perc_using_eCR_process</f>
        <v>0.55000000000000004</v>
      </c>
      <c r="L27" s="241"/>
      <c r="M27" s="232">
        <f>perc_using_eCR_process</f>
        <v>0.55000000000000004</v>
      </c>
      <c r="N27" s="263"/>
      <c r="O27" s="234"/>
    </row>
    <row r="28" spans="1:15" x14ac:dyDescent="0.2">
      <c r="B28" s="263"/>
      <c r="C28" s="263" t="s">
        <v>361</v>
      </c>
      <c r="D28" s="92"/>
      <c r="E28" s="263"/>
      <c r="F28" s="263"/>
      <c r="G28" s="217">
        <f>additional_time_complete_switch</f>
        <v>1</v>
      </c>
      <c r="H28" s="188"/>
      <c r="I28" s="217">
        <f>additional_time_complete_switch</f>
        <v>1</v>
      </c>
      <c r="J28" s="263"/>
      <c r="K28" s="217">
        <f>additional_time_complete_switch</f>
        <v>1</v>
      </c>
      <c r="L28" s="187"/>
      <c r="M28" s="217">
        <f>additional_time_complete_switch</f>
        <v>1</v>
      </c>
      <c r="N28" s="263"/>
      <c r="O28" s="234"/>
    </row>
    <row r="29" spans="1:15" x14ac:dyDescent="0.2">
      <c r="B29" s="263"/>
      <c r="C29" s="263" t="s">
        <v>354</v>
      </c>
      <c r="D29" s="92"/>
      <c r="E29" s="263"/>
      <c r="F29" s="263"/>
      <c r="G29" s="217">
        <f>additional_time_asset_val</f>
        <v>1</v>
      </c>
      <c r="H29" s="188"/>
      <c r="I29" s="217">
        <f>additional_time_asset_val</f>
        <v>1</v>
      </c>
      <c r="J29" s="263"/>
      <c r="K29" s="217">
        <f>additional_time_asset_val</f>
        <v>1</v>
      </c>
      <c r="L29" s="187"/>
      <c r="M29" s="217">
        <f>additional_time_asset_val</f>
        <v>1</v>
      </c>
      <c r="N29" s="263"/>
      <c r="O29" s="234"/>
    </row>
    <row r="30" spans="1:15" x14ac:dyDescent="0.2">
      <c r="B30" s="263"/>
      <c r="C30" s="106" t="s">
        <v>358</v>
      </c>
      <c r="D30" s="10"/>
      <c r="E30" s="158" t="s">
        <v>49</v>
      </c>
      <c r="F30" s="263"/>
      <c r="G30" s="232">
        <f>perc_switchers_not_contacting_LP</f>
        <v>0.4</v>
      </c>
      <c r="H30" s="233"/>
      <c r="I30" s="232">
        <f>perc_switchers_not_contacting_LP</f>
        <v>0.4</v>
      </c>
      <c r="J30" s="32"/>
      <c r="K30" s="217">
        <v>0</v>
      </c>
      <c r="L30" s="235"/>
      <c r="M30" s="217">
        <v>0</v>
      </c>
      <c r="N30" s="263"/>
      <c r="O30" s="235"/>
    </row>
    <row r="31" spans="1:15" s="234" customFormat="1" x14ac:dyDescent="0.2">
      <c r="A31" s="236"/>
      <c r="I31" s="237"/>
      <c r="J31" s="238"/>
      <c r="K31" s="237"/>
      <c r="L31" s="239"/>
      <c r="M31" s="237"/>
    </row>
    <row r="32" spans="1:15" s="39" customFormat="1" x14ac:dyDescent="0.2">
      <c r="A32" s="183"/>
      <c r="B32" s="263"/>
      <c r="C32" s="263" t="s">
        <v>363</v>
      </c>
      <c r="E32" s="39" t="s">
        <v>52</v>
      </c>
      <c r="G32" s="217">
        <f>additional_time_complete_switch+(perc_using_GPL_process*additional_time_asset_val)</f>
        <v>1.7</v>
      </c>
      <c r="I32" s="217">
        <f>additional_time_complete_switch+(perc_using_GPL_process*additional_time_asset_val)</f>
        <v>1.7</v>
      </c>
      <c r="J32" s="114"/>
      <c r="K32" s="217">
        <f>additional_time_complete_switch+(perc_using_eCR_process*additional_time_asset_val)</f>
        <v>1.55</v>
      </c>
      <c r="L32" s="189"/>
      <c r="M32" s="217">
        <f>additional_time_complete_switch+(perc_using_eCR_process*additional_time_asset_val)</f>
        <v>1.55</v>
      </c>
      <c r="O32" s="234"/>
    </row>
    <row r="33" spans="1:15" s="39" customFormat="1" x14ac:dyDescent="0.2">
      <c r="A33" s="183"/>
      <c r="B33" s="263"/>
      <c r="C33" s="263" t="s">
        <v>469</v>
      </c>
      <c r="G33" s="217">
        <v>0</v>
      </c>
      <c r="I33" s="217">
        <v>0</v>
      </c>
      <c r="J33" s="114"/>
      <c r="K33" s="217">
        <f>(agent_time_cancel_webchat/active_live_chats+agent_time_postcontact)*delta_cancel_using_webchat</f>
        <v>0.49500000000000005</v>
      </c>
      <c r="L33" s="189"/>
      <c r="M33" s="217">
        <f>(agent_time_cancel_webchat/active_live_chats+agent_time_postcontact)*delta_cancel_using_webchat</f>
        <v>0.49500000000000005</v>
      </c>
      <c r="O33" s="234"/>
    </row>
    <row r="34" spans="1:15" s="39" customFormat="1" x14ac:dyDescent="0.2">
      <c r="A34" s="183"/>
      <c r="B34" s="263"/>
      <c r="C34" s="263" t="s">
        <v>362</v>
      </c>
      <c r="E34" s="39" t="s">
        <v>52</v>
      </c>
      <c r="G34" s="217">
        <f>perc_switchers_not_contacting_LP*agent_time_cancel_blended</f>
        <v>5.2139999999999995</v>
      </c>
      <c r="I34" s="217">
        <f>perc_switchers_not_contacting_LP*agent_time_cancel_blended</f>
        <v>5.2139999999999995</v>
      </c>
      <c r="J34" s="114"/>
      <c r="K34" s="217">
        <f>agent_time_cancel_phone*delta_cancel_using_phone</f>
        <v>3.6599999999999997</v>
      </c>
      <c r="L34" s="189"/>
      <c r="M34" s="217">
        <f>agent_time_cancel_phone*delta_cancel_using_phone</f>
        <v>3.6599999999999997</v>
      </c>
      <c r="O34" s="234"/>
    </row>
    <row r="35" spans="1:15" x14ac:dyDescent="0.2">
      <c r="B35" s="263"/>
      <c r="C35" s="23"/>
      <c r="D35" s="23"/>
      <c r="E35" s="23"/>
      <c r="F35" s="23"/>
      <c r="G35" s="23"/>
      <c r="I35" s="23"/>
      <c r="J35" s="23"/>
      <c r="K35" s="23"/>
      <c r="L35" s="23"/>
      <c r="M35" s="23"/>
      <c r="N35" s="263"/>
      <c r="O35" s="234"/>
    </row>
    <row r="36" spans="1:15" x14ac:dyDescent="0.2">
      <c r="B36" s="263"/>
      <c r="C36" s="263" t="s">
        <v>132</v>
      </c>
      <c r="D36" s="263"/>
      <c r="E36" s="263" t="s">
        <v>52</v>
      </c>
      <c r="F36" s="263"/>
      <c r="G36" s="190">
        <f>G32+G33-G34</f>
        <v>-3.5139999999999993</v>
      </c>
      <c r="H36" s="253"/>
      <c r="I36" s="190">
        <f>I32+I33-I34</f>
        <v>-3.5139999999999993</v>
      </c>
      <c r="J36" s="191"/>
      <c r="K36" s="190">
        <f>K32+K33-K34</f>
        <v>-1.6149999999999998</v>
      </c>
      <c r="L36" s="191"/>
      <c r="M36" s="190">
        <f>M32+M33-M34</f>
        <v>-1.6149999999999998</v>
      </c>
      <c r="N36" s="263"/>
      <c r="O36" s="231"/>
    </row>
    <row r="37" spans="1:15" x14ac:dyDescent="0.2">
      <c r="B37" s="263"/>
      <c r="C37" s="10" t="s">
        <v>133</v>
      </c>
      <c r="D37" s="10" t="s">
        <v>47</v>
      </c>
      <c r="E37" s="263" t="s">
        <v>77</v>
      </c>
      <c r="F37" s="263"/>
      <c r="G37" s="192">
        <f>agent_wage</f>
        <v>0.24</v>
      </c>
      <c r="H37" s="192"/>
      <c r="I37" s="192">
        <f>agent_wage</f>
        <v>0.24</v>
      </c>
      <c r="J37" s="192"/>
      <c r="K37" s="192">
        <f>agent_wage</f>
        <v>0.24</v>
      </c>
      <c r="L37" s="192"/>
      <c r="M37" s="192">
        <f>agent_wage</f>
        <v>0.24</v>
      </c>
      <c r="N37" s="263"/>
      <c r="O37" s="263"/>
    </row>
    <row r="38" spans="1:15" x14ac:dyDescent="0.2">
      <c r="B38" s="263"/>
      <c r="C38" s="22" t="s">
        <v>135</v>
      </c>
      <c r="D38" s="263" t="s">
        <v>42</v>
      </c>
      <c r="E38" s="263" t="s">
        <v>30</v>
      </c>
      <c r="F38" s="263"/>
      <c r="G38" s="193">
        <f>G36*G37</f>
        <v>-0.84335999999999978</v>
      </c>
      <c r="H38" s="193"/>
      <c r="I38" s="193">
        <f>I36*I37</f>
        <v>-0.84335999999999978</v>
      </c>
      <c r="J38" s="193"/>
      <c r="K38" s="193">
        <f>K36*K37</f>
        <v>-0.38759999999999994</v>
      </c>
      <c r="L38" s="193"/>
      <c r="M38" s="193">
        <f>M36*M37</f>
        <v>-0.38759999999999994</v>
      </c>
      <c r="N38" s="263"/>
      <c r="O38" s="263"/>
    </row>
    <row r="39" spans="1:15" x14ac:dyDescent="0.2">
      <c r="B39" s="263"/>
      <c r="C39" s="263"/>
      <c r="D39" s="263"/>
      <c r="E39" s="263"/>
      <c r="F39" s="263"/>
      <c r="G39" s="263"/>
      <c r="I39" s="263"/>
      <c r="J39" s="263"/>
      <c r="K39" s="263"/>
      <c r="L39" s="263"/>
      <c r="M39" s="263"/>
      <c r="N39" s="263"/>
      <c r="O39" s="263"/>
    </row>
    <row r="40" spans="1:15" x14ac:dyDescent="0.2">
      <c r="B40" s="263"/>
      <c r="C40" s="263"/>
      <c r="D40" s="263"/>
      <c r="E40" s="263"/>
      <c r="F40" s="263"/>
      <c r="G40" s="263"/>
      <c r="I40" s="263"/>
      <c r="J40" s="263"/>
      <c r="K40" s="263"/>
      <c r="L40" s="263"/>
      <c r="M40" s="263"/>
      <c r="N40" s="263"/>
      <c r="O40" s="263"/>
    </row>
    <row r="50" spans="3:7" x14ac:dyDescent="0.2">
      <c r="G50" s="37"/>
    </row>
    <row r="55" spans="3:7" x14ac:dyDescent="0.2">
      <c r="C55" s="74"/>
    </row>
    <row r="56" spans="3:7" x14ac:dyDescent="0.2">
      <c r="C56" s="74"/>
    </row>
  </sheetData>
  <mergeCells count="1">
    <mergeCell ref="G24:M24"/>
  </mergeCells>
  <pageMargins left="0.7" right="0.7" top="0.75" bottom="0.75" header="0.3" footer="0.3"/>
  <pageSetup paperSize="9"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14"/>
  <sheetViews>
    <sheetView showGridLines="0" zoomScale="80" zoomScaleNormal="80" workbookViewId="0">
      <selection activeCell="Q9" sqref="Q9"/>
    </sheetView>
  </sheetViews>
  <sheetFormatPr defaultRowHeight="15" x14ac:dyDescent="0.25"/>
  <cols>
    <col min="1" max="1" width="5.42578125" customWidth="1"/>
    <col min="2" max="2" width="11.5703125" bestFit="1" customWidth="1"/>
    <col min="3" max="3" width="51.7109375" customWidth="1"/>
    <col min="4" max="4" width="6.42578125" bestFit="1" customWidth="1"/>
    <col min="5" max="5" width="4.85546875" customWidth="1"/>
    <col min="6" max="6" width="11.7109375" customWidth="1"/>
    <col min="7" max="7" width="13" customWidth="1"/>
    <col min="8" max="8" width="12" customWidth="1"/>
    <col min="9" max="9" width="12.140625" customWidth="1"/>
    <col min="14" max="14" width="8.7109375" customWidth="1"/>
    <col min="17" max="17" width="121.42578125" customWidth="1"/>
  </cols>
  <sheetData>
    <row r="1" spans="1:23" s="18" customFormat="1" ht="12.75" x14ac:dyDescent="0.2">
      <c r="A1" s="263"/>
      <c r="B1" s="263"/>
      <c r="C1" s="263"/>
      <c r="D1" s="263"/>
      <c r="E1" s="263"/>
      <c r="F1" s="263"/>
      <c r="G1" s="265"/>
      <c r="H1" s="263"/>
      <c r="I1" s="263"/>
      <c r="J1" s="263"/>
      <c r="K1" s="263"/>
      <c r="L1" s="263"/>
      <c r="M1" s="263"/>
      <c r="N1" s="263"/>
      <c r="O1" s="263"/>
      <c r="P1" s="263"/>
      <c r="Q1" s="263"/>
      <c r="R1" s="21"/>
      <c r="S1" s="21"/>
      <c r="T1" s="21"/>
      <c r="U1" s="21"/>
      <c r="V1" s="21"/>
      <c r="W1" s="21"/>
    </row>
    <row r="2" spans="1:23" s="51" customFormat="1" ht="12.75" x14ac:dyDescent="0.2">
      <c r="B2" s="51" t="s">
        <v>0</v>
      </c>
      <c r="C2" s="52" t="str">
        <f ca="1">MID(CELL("filename",A1),FIND("]",CELL("filename",A1))+1,256)</f>
        <v>Inputs_CPs</v>
      </c>
      <c r="D2" s="52"/>
      <c r="E2" s="52"/>
      <c r="R2" s="62"/>
      <c r="S2" s="62"/>
      <c r="T2" s="62"/>
      <c r="U2" s="62"/>
      <c r="V2" s="62"/>
      <c r="W2" s="62"/>
    </row>
    <row r="3" spans="1:23" s="51" customFormat="1" ht="12.75" x14ac:dyDescent="0.2">
      <c r="B3" s="51" t="s">
        <v>1</v>
      </c>
      <c r="C3" s="51" t="s">
        <v>252</v>
      </c>
      <c r="R3" s="62"/>
      <c r="S3" s="62"/>
      <c r="T3" s="62"/>
      <c r="U3" s="62"/>
      <c r="V3" s="62"/>
      <c r="W3" s="62"/>
    </row>
    <row r="4" spans="1:23" s="51" customFormat="1" ht="12.75" x14ac:dyDescent="0.2">
      <c r="R4" s="62"/>
      <c r="S4" s="62"/>
      <c r="T4" s="62"/>
      <c r="U4" s="62"/>
      <c r="V4" s="62"/>
      <c r="W4" s="62"/>
    </row>
    <row r="5" spans="1:23" s="51" customFormat="1" ht="12.75" x14ac:dyDescent="0.2">
      <c r="F5" s="55" t="s">
        <v>136</v>
      </c>
      <c r="R5" s="62"/>
      <c r="S5" s="60"/>
      <c r="T5" s="62"/>
      <c r="U5" s="62"/>
      <c r="V5" s="62"/>
      <c r="W5" s="62"/>
    </row>
    <row r="6" spans="1:23" s="85" customFormat="1" ht="12.75" x14ac:dyDescent="0.2">
      <c r="A6" s="53"/>
      <c r="B6" s="53"/>
      <c r="C6" s="53" t="s">
        <v>28</v>
      </c>
      <c r="D6" s="19" t="s">
        <v>29</v>
      </c>
      <c r="E6" s="19"/>
      <c r="F6" s="110" t="s">
        <v>59</v>
      </c>
      <c r="G6" s="110" t="s">
        <v>62</v>
      </c>
      <c r="H6" s="110" t="s">
        <v>56</v>
      </c>
      <c r="I6" s="110" t="s">
        <v>72</v>
      </c>
      <c r="J6" s="110" t="s">
        <v>83</v>
      </c>
      <c r="K6" s="110" t="s">
        <v>82</v>
      </c>
      <c r="L6" s="110" t="s">
        <v>81</v>
      </c>
      <c r="M6" s="110" t="s">
        <v>90</v>
      </c>
      <c r="N6" s="110" t="s">
        <v>46</v>
      </c>
      <c r="O6" s="110" t="s">
        <v>79</v>
      </c>
      <c r="P6" s="53"/>
      <c r="Q6" s="26" t="s">
        <v>64</v>
      </c>
      <c r="S6" s="86"/>
    </row>
    <row r="7" spans="1:23" s="18" customFormat="1" ht="12.75" x14ac:dyDescent="0.2">
      <c r="A7" s="263"/>
      <c r="B7" s="263"/>
      <c r="C7" s="263"/>
      <c r="D7" s="263"/>
      <c r="E7" s="263"/>
      <c r="F7" s="263"/>
      <c r="G7" s="265"/>
      <c r="H7" s="263"/>
      <c r="I7" s="263"/>
      <c r="J7" s="263"/>
      <c r="K7" s="263"/>
      <c r="L7" s="263"/>
      <c r="M7" s="263"/>
      <c r="N7" s="263"/>
      <c r="O7" s="263"/>
      <c r="P7" s="263"/>
      <c r="Q7" s="263"/>
      <c r="R7" s="21"/>
      <c r="S7" s="21"/>
      <c r="T7" s="21"/>
      <c r="U7" s="21"/>
      <c r="V7" s="21"/>
      <c r="W7" s="21"/>
    </row>
    <row r="8" spans="1:23" x14ac:dyDescent="0.25">
      <c r="A8" s="263"/>
      <c r="B8" s="263"/>
      <c r="C8" s="22" t="s">
        <v>129</v>
      </c>
      <c r="D8" s="263"/>
      <c r="E8" s="263"/>
      <c r="F8" s="48"/>
      <c r="G8" s="48"/>
      <c r="H8" s="48"/>
      <c r="I8" s="48"/>
      <c r="J8" s="48"/>
      <c r="K8" s="48"/>
      <c r="L8" s="48"/>
      <c r="M8" s="48"/>
      <c r="N8" s="48"/>
      <c r="O8" s="48"/>
      <c r="P8" s="263"/>
      <c r="Q8" s="263"/>
    </row>
    <row r="9" spans="1:23" x14ac:dyDescent="0.25">
      <c r="A9" s="263"/>
      <c r="B9" s="263"/>
      <c r="C9" s="15" t="s">
        <v>69</v>
      </c>
      <c r="D9" s="15" t="s">
        <v>48</v>
      </c>
      <c r="E9" s="15"/>
      <c r="F9" s="705"/>
      <c r="G9" s="705"/>
      <c r="H9" s="705"/>
      <c r="I9" s="705"/>
      <c r="J9" s="304">
        <v>1309</v>
      </c>
      <c r="K9" s="29">
        <v>100</v>
      </c>
      <c r="L9" s="29">
        <v>5</v>
      </c>
      <c r="M9" s="29">
        <v>0</v>
      </c>
      <c r="N9" s="29">
        <v>0</v>
      </c>
      <c r="O9" s="29">
        <v>0</v>
      </c>
      <c r="P9" s="263"/>
      <c r="Q9" s="610" t="s">
        <v>542</v>
      </c>
    </row>
    <row r="10" spans="1:23" x14ac:dyDescent="0.25">
      <c r="A10" s="263"/>
      <c r="B10" s="263"/>
      <c r="C10" s="105" t="s">
        <v>92</v>
      </c>
      <c r="D10" s="106" t="s">
        <v>48</v>
      </c>
      <c r="E10" s="106"/>
      <c r="F10" s="96">
        <f>15</f>
        <v>15</v>
      </c>
      <c r="G10" s="96">
        <f>15</f>
        <v>15</v>
      </c>
      <c r="H10" s="96">
        <f>15</f>
        <v>15</v>
      </c>
      <c r="I10" s="96">
        <f>15</f>
        <v>15</v>
      </c>
      <c r="J10" s="96">
        <f t="shared" ref="J10:J13" si="0">AVERAGE(F10:I10)</f>
        <v>15</v>
      </c>
      <c r="K10" s="96">
        <f>3</f>
        <v>3</v>
      </c>
      <c r="L10" s="96">
        <f>3</f>
        <v>3</v>
      </c>
      <c r="M10" s="96">
        <f>3</f>
        <v>3</v>
      </c>
      <c r="N10" s="96">
        <f>15</f>
        <v>15</v>
      </c>
      <c r="O10" s="96">
        <f>15</f>
        <v>15</v>
      </c>
      <c r="P10" s="263"/>
      <c r="Q10" s="104" t="s">
        <v>446</v>
      </c>
    </row>
    <row r="11" spans="1:23" ht="26.25" x14ac:dyDescent="0.25">
      <c r="A11" s="263"/>
      <c r="B11" s="263"/>
      <c r="C11" s="15" t="s">
        <v>70</v>
      </c>
      <c r="D11" s="15" t="s">
        <v>60</v>
      </c>
      <c r="E11" s="15"/>
      <c r="F11" s="348">
        <f>(hrs_day_shift*mins_hr*agent_wage)+((hrs_day_shift*mins_hr*technical_FTE_salary)/Trainees_per_session)</f>
        <v>142.97777777777776</v>
      </c>
      <c r="G11" s="348">
        <f>(hrs_day_shift*mins_hr*agent_wage)+((hrs_day_shift*mins_hr*technical_FTE_salary)/Trainees_per_session)</f>
        <v>142.97777777777776</v>
      </c>
      <c r="H11" s="348">
        <f>(hrs_day_shift*mins_hr*agent_wage)+((hrs_day_shift*mins_hr*technical_FTE_salary)/Trainees_per_session)</f>
        <v>142.97777777777776</v>
      </c>
      <c r="I11" s="348">
        <f>(hrs_day_shift*mins_hr*agent_wage)+((hrs_day_shift*mins_hr*technical_FTE_salary)/Trainees_per_session)</f>
        <v>142.97777777777776</v>
      </c>
      <c r="J11" s="348">
        <f t="shared" si="0"/>
        <v>142.97777777777776</v>
      </c>
      <c r="K11" s="348">
        <f>(hrs_day_shift*mins_hr*agent_wage)+((hrs_day_shift*mins_hr*technical_FTE_salary)/Trainees_per_session)</f>
        <v>142.97777777777776</v>
      </c>
      <c r="L11" s="348">
        <f>(hrs_day_shift*mins_hr*agent_wage)+((hrs_day_shift*mins_hr*technical_FTE_salary)/Trainees_per_session)</f>
        <v>142.97777777777776</v>
      </c>
      <c r="M11" s="348">
        <f>(hrs_day_shift*mins_hr*agent_wage)+((hrs_day_shift*mins_hr*technical_FTE_salary)/Trainees_per_session)</f>
        <v>142.97777777777776</v>
      </c>
      <c r="N11" s="348">
        <f>(hrs_day_shift*mins_hr*agent_wage)+((hrs_day_shift*mins_hr*technical_FTE_salary)/Trainees_per_session)</f>
        <v>142.97777777777776</v>
      </c>
      <c r="O11" s="348">
        <f>(hrs_day_shift*mins_hr*agent_wage)+((hrs_day_shift*mins_hr*technical_FTE_salary)/Trainees_per_session)</f>
        <v>142.97777777777776</v>
      </c>
      <c r="P11" s="263"/>
      <c r="Q11" s="103" t="s">
        <v>497</v>
      </c>
    </row>
    <row r="12" spans="1:23" ht="26.25" x14ac:dyDescent="0.25">
      <c r="A12" s="263"/>
      <c r="B12" s="263"/>
      <c r="C12" s="15" t="s">
        <v>71</v>
      </c>
      <c r="D12" s="15" t="s">
        <v>60</v>
      </c>
      <c r="E12" s="15"/>
      <c r="F12" s="348">
        <f>(hrs_day_shift*mins_hr*technical_FTE_salary)+((hrs_day_shift*mins_hr*technical_FTE_salary)/Trainees_per_session)</f>
        <v>361.11111111111109</v>
      </c>
      <c r="G12" s="348">
        <f>(hrs_day_shift*mins_hr*technical_FTE_salary)+((hrs_day_shift*mins_hr*technical_FTE_salary)/Trainees_per_session)</f>
        <v>361.11111111111109</v>
      </c>
      <c r="H12" s="348">
        <f>(hrs_day_shift*mins_hr*technical_FTE_salary)+((hrs_day_shift*mins_hr*technical_FTE_salary)/Trainees_per_session)</f>
        <v>361.11111111111109</v>
      </c>
      <c r="I12" s="348">
        <f>(hrs_day_shift*mins_hr*technical_FTE_salary)+((hrs_day_shift*mins_hr*technical_FTE_salary)/Trainees_per_session)</f>
        <v>361.11111111111109</v>
      </c>
      <c r="J12" s="348">
        <f t="shared" si="0"/>
        <v>361.11111111111109</v>
      </c>
      <c r="K12" s="348">
        <f>(hrs_day_shift*mins_hr*technical_FTE_salary)+((hrs_day_shift*mins_hr*technical_FTE_salary)/Trainees_per_session)</f>
        <v>361.11111111111109</v>
      </c>
      <c r="L12" s="348">
        <f>(hrs_day_shift*mins_hr*technical_FTE_salary)+((hrs_day_shift*mins_hr*technical_FTE_salary)/Trainees_per_session)</f>
        <v>361.11111111111109</v>
      </c>
      <c r="M12" s="348">
        <f>(hrs_day_shift*mins_hr*technical_FTE_salary)+((hrs_day_shift*mins_hr*technical_FTE_salary)/Trainees_per_session)</f>
        <v>361.11111111111109</v>
      </c>
      <c r="N12" s="348">
        <f>(hrs_day_shift*mins_hr*technical_FTE_salary)+((hrs_day_shift*mins_hr*technical_FTE_salary)/Trainees_per_session)</f>
        <v>361.11111111111109</v>
      </c>
      <c r="O12" s="348">
        <f>(hrs_day_shift*mins_hr*technical_FTE_salary)+((hrs_day_shift*mins_hr*technical_FTE_salary)/Trainees_per_session)</f>
        <v>361.11111111111109</v>
      </c>
      <c r="P12" s="263"/>
      <c r="Q12" s="103" t="s">
        <v>498</v>
      </c>
    </row>
    <row r="13" spans="1:23" x14ac:dyDescent="0.25">
      <c r="A13" s="263"/>
      <c r="B13" s="263"/>
      <c r="C13" s="15" t="s">
        <v>67</v>
      </c>
      <c r="D13" s="15" t="s">
        <v>49</v>
      </c>
      <c r="E13" s="15"/>
      <c r="F13" s="30">
        <v>0.2</v>
      </c>
      <c r="G13" s="30">
        <v>0.2</v>
      </c>
      <c r="H13" s="30">
        <v>0.2</v>
      </c>
      <c r="I13" s="30">
        <v>0.2</v>
      </c>
      <c r="J13" s="30">
        <f t="shared" si="0"/>
        <v>0.2</v>
      </c>
      <c r="K13" s="30">
        <v>0.2</v>
      </c>
      <c r="L13" s="30">
        <v>0.2</v>
      </c>
      <c r="M13" s="30">
        <v>0.2</v>
      </c>
      <c r="N13" s="30">
        <v>0.2</v>
      </c>
      <c r="O13" s="30">
        <v>0.2</v>
      </c>
      <c r="P13" s="263"/>
      <c r="Q13" s="87" t="s">
        <v>445</v>
      </c>
    </row>
    <row r="14" spans="1:23" x14ac:dyDescent="0.25">
      <c r="A14" s="263"/>
      <c r="B14" s="263"/>
      <c r="C14" s="263"/>
      <c r="D14" s="263"/>
      <c r="E14" s="263"/>
      <c r="F14" s="263"/>
      <c r="G14" s="263"/>
      <c r="H14" s="263"/>
      <c r="I14" s="263"/>
      <c r="J14" s="263"/>
      <c r="K14" s="263"/>
      <c r="L14" s="263"/>
      <c r="M14" s="263"/>
      <c r="N14" s="263"/>
      <c r="O14" s="263"/>
      <c r="P14" s="263"/>
      <c r="Q14" s="263"/>
    </row>
  </sheetData>
  <pageMargins left="0.7" right="0.7" top="0.75" bottom="0.75" header="0.3" footer="0.3"/>
  <pageSetup paperSize="9" orientation="portrait" horizontalDpi="4294967295" verticalDpi="4294967295" r:id="rId1"/>
  <ignoredErrors>
    <ignoredError sqref="J11:J12"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S35"/>
  <sheetViews>
    <sheetView showGridLines="0" zoomScale="80" zoomScaleNormal="80" workbookViewId="0">
      <selection activeCell="I21" sqref="I21"/>
    </sheetView>
  </sheetViews>
  <sheetFormatPr defaultRowHeight="15" x14ac:dyDescent="0.25"/>
  <cols>
    <col min="1" max="1" width="4.28515625" customWidth="1"/>
    <col min="2" max="2" width="10.42578125" bestFit="1" customWidth="1"/>
    <col min="3" max="3" width="15.7109375" customWidth="1"/>
    <col min="4" max="4" width="41.7109375" customWidth="1"/>
    <col min="5" max="5" width="20" customWidth="1"/>
    <col min="6" max="6" width="23.7109375" customWidth="1"/>
    <col min="7" max="7" width="29.85546875" customWidth="1"/>
    <col min="8" max="8" width="8.5703125" style="262" customWidth="1"/>
    <col min="9" max="9" width="99.140625" customWidth="1"/>
  </cols>
  <sheetData>
    <row r="2" spans="1:19" x14ac:dyDescent="0.25">
      <c r="B2" s="10" t="s">
        <v>0</v>
      </c>
      <c r="C2" s="12" t="str">
        <f ca="1">MID(CELL("filename",A1),FIND("]",CELL("filename",A1))+1,256)</f>
        <v>Inputs_Estimates</v>
      </c>
      <c r="D2" s="263"/>
      <c r="E2" s="263"/>
      <c r="F2" s="263"/>
      <c r="G2" s="263"/>
      <c r="H2" s="263"/>
      <c r="I2" s="263"/>
    </row>
    <row r="3" spans="1:19" x14ac:dyDescent="0.25">
      <c r="B3" s="10" t="s">
        <v>1</v>
      </c>
      <c r="C3" s="10" t="s">
        <v>381</v>
      </c>
      <c r="D3" s="263"/>
      <c r="E3" s="263"/>
      <c r="F3" s="263"/>
      <c r="G3" s="263"/>
      <c r="H3" s="263"/>
      <c r="I3" s="263"/>
    </row>
    <row r="4" spans="1:19" x14ac:dyDescent="0.25">
      <c r="B4" s="263"/>
      <c r="C4" s="263"/>
      <c r="D4" s="263"/>
      <c r="E4" s="263"/>
      <c r="F4" s="263"/>
      <c r="G4" s="263"/>
      <c r="H4" s="263"/>
      <c r="I4" s="263"/>
    </row>
    <row r="5" spans="1:19" x14ac:dyDescent="0.25">
      <c r="A5" s="136"/>
      <c r="B5" s="19"/>
      <c r="C5" s="19"/>
      <c r="D5" s="19"/>
      <c r="E5" s="19"/>
      <c r="F5" s="19"/>
      <c r="G5" s="19"/>
      <c r="H5" s="19"/>
      <c r="I5" s="19"/>
      <c r="J5" s="136"/>
      <c r="K5" s="136"/>
      <c r="L5" s="136"/>
      <c r="M5" s="136"/>
      <c r="N5" s="136"/>
      <c r="O5" s="136"/>
      <c r="P5" s="136"/>
      <c r="Q5" s="136"/>
      <c r="R5" s="136"/>
      <c r="S5" s="136"/>
    </row>
    <row r="6" spans="1:19" ht="15.75" thickBot="1" x14ac:dyDescent="0.3"/>
    <row r="7" spans="1:19" ht="45" customHeight="1" thickBot="1" x14ac:dyDescent="0.3">
      <c r="D7" s="349" t="s">
        <v>459</v>
      </c>
      <c r="E7" s="350" t="s">
        <v>307</v>
      </c>
      <c r="F7" s="351" t="s">
        <v>57</v>
      </c>
      <c r="G7" s="352" t="s">
        <v>460</v>
      </c>
      <c r="H7" s="353"/>
      <c r="I7" s="74" t="s">
        <v>489</v>
      </c>
    </row>
    <row r="8" spans="1:19" ht="63.75" x14ac:dyDescent="0.25">
      <c r="B8" s="185" t="s">
        <v>369</v>
      </c>
      <c r="D8" s="354" t="s">
        <v>328</v>
      </c>
      <c r="E8" s="355">
        <v>30</v>
      </c>
      <c r="F8" s="712"/>
      <c r="G8" s="356" t="s">
        <v>440</v>
      </c>
      <c r="H8" s="357"/>
      <c r="I8" s="358"/>
    </row>
    <row r="9" spans="1:19" ht="38.25" x14ac:dyDescent="0.25">
      <c r="B9" s="185" t="s">
        <v>371</v>
      </c>
      <c r="D9" s="359" t="s">
        <v>329</v>
      </c>
      <c r="E9" s="360">
        <v>60</v>
      </c>
      <c r="F9" s="713"/>
      <c r="G9" s="361" t="s">
        <v>439</v>
      </c>
      <c r="H9" s="357"/>
      <c r="I9" s="263"/>
    </row>
    <row r="10" spans="1:19" ht="38.25" x14ac:dyDescent="0.25">
      <c r="B10" s="185" t="s">
        <v>372</v>
      </c>
      <c r="D10" s="359" t="s">
        <v>330</v>
      </c>
      <c r="E10" s="362">
        <v>60</v>
      </c>
      <c r="F10" s="714"/>
      <c r="G10" s="361" t="s">
        <v>438</v>
      </c>
      <c r="H10" s="357"/>
      <c r="I10" s="263"/>
    </row>
    <row r="11" spans="1:19" ht="24" customHeight="1" x14ac:dyDescent="0.25">
      <c r="B11" s="185" t="s">
        <v>370</v>
      </c>
      <c r="D11" s="359" t="s">
        <v>331</v>
      </c>
      <c r="E11" s="363">
        <v>120</v>
      </c>
      <c r="F11" s="715"/>
      <c r="G11" s="361" t="s">
        <v>458</v>
      </c>
      <c r="H11" s="357"/>
      <c r="I11" s="157"/>
    </row>
    <row r="12" spans="1:19" ht="24" customHeight="1" x14ac:dyDescent="0.25">
      <c r="B12" s="185" t="s">
        <v>425</v>
      </c>
      <c r="D12" s="359" t="s">
        <v>343</v>
      </c>
      <c r="E12" s="360">
        <v>150</v>
      </c>
      <c r="F12" s="716"/>
      <c r="G12" s="364" t="s">
        <v>437</v>
      </c>
      <c r="H12" s="365"/>
      <c r="I12" s="157"/>
    </row>
    <row r="13" spans="1:19" ht="27.75" customHeight="1" x14ac:dyDescent="0.25">
      <c r="A13" s="262"/>
      <c r="B13" s="185" t="s">
        <v>426</v>
      </c>
      <c r="C13" s="262"/>
      <c r="D13" s="359" t="s">
        <v>341</v>
      </c>
      <c r="E13" s="360">
        <v>120</v>
      </c>
      <c r="F13" s="722" t="s">
        <v>490</v>
      </c>
      <c r="G13" s="366" t="s">
        <v>457</v>
      </c>
      <c r="H13" s="367"/>
      <c r="I13" s="25"/>
      <c r="J13" s="254"/>
    </row>
    <row r="14" spans="1:19" ht="24" customHeight="1" x14ac:dyDescent="0.25">
      <c r="A14" s="262"/>
      <c r="B14" s="185" t="s">
        <v>427</v>
      </c>
      <c r="C14" s="262"/>
      <c r="D14" s="359" t="s">
        <v>342</v>
      </c>
      <c r="E14" s="360">
        <v>320</v>
      </c>
      <c r="F14" s="723"/>
      <c r="G14" s="721" t="s">
        <v>441</v>
      </c>
      <c r="H14" s="368"/>
      <c r="I14" s="369"/>
      <c r="J14" s="254"/>
    </row>
    <row r="15" spans="1:19" ht="39" customHeight="1" x14ac:dyDescent="0.25">
      <c r="B15" s="185" t="s">
        <v>428</v>
      </c>
      <c r="D15" s="359" t="s">
        <v>368</v>
      </c>
      <c r="E15" s="360">
        <v>440</v>
      </c>
      <c r="F15" s="370" t="s">
        <v>444</v>
      </c>
      <c r="G15" s="721"/>
      <c r="H15" s="368"/>
      <c r="I15" s="369"/>
      <c r="J15" s="254"/>
    </row>
    <row r="16" spans="1:19" ht="24" customHeight="1" x14ac:dyDescent="0.25">
      <c r="B16" s="185" t="s">
        <v>429</v>
      </c>
      <c r="D16" s="359" t="s">
        <v>340</v>
      </c>
      <c r="E16" s="360">
        <v>120</v>
      </c>
      <c r="F16" s="724" t="s">
        <v>501</v>
      </c>
      <c r="G16" s="366" t="s">
        <v>457</v>
      </c>
      <c r="H16" s="367"/>
      <c r="I16" s="369"/>
      <c r="J16" s="254"/>
    </row>
    <row r="17" spans="2:10" ht="39" thickBot="1" x14ac:dyDescent="0.3">
      <c r="B17" s="185" t="s">
        <v>430</v>
      </c>
      <c r="D17" s="371" t="s">
        <v>339</v>
      </c>
      <c r="E17" s="372">
        <v>385</v>
      </c>
      <c r="F17" s="725"/>
      <c r="G17" s="373" t="s">
        <v>441</v>
      </c>
      <c r="H17" s="367"/>
      <c r="I17" s="25"/>
      <c r="J17" s="254"/>
    </row>
    <row r="18" spans="2:10" x14ac:dyDescent="0.25">
      <c r="D18" s="263"/>
      <c r="E18" s="263"/>
      <c r="F18" s="263"/>
      <c r="G18" s="263"/>
      <c r="H18" s="263"/>
      <c r="I18" s="263"/>
    </row>
    <row r="19" spans="2:10" x14ac:dyDescent="0.25">
      <c r="B19" s="185" t="s">
        <v>431</v>
      </c>
      <c r="D19" s="22" t="s">
        <v>282</v>
      </c>
      <c r="E19" s="374">
        <v>0.1</v>
      </c>
      <c r="F19" s="157" t="s">
        <v>283</v>
      </c>
      <c r="G19" s="263"/>
      <c r="H19" s="263"/>
      <c r="I19" s="263"/>
    </row>
    <row r="20" spans="2:10" x14ac:dyDescent="0.25">
      <c r="B20" s="185" t="s">
        <v>432</v>
      </c>
      <c r="D20" s="375" t="s">
        <v>422</v>
      </c>
      <c r="E20" s="376">
        <v>2</v>
      </c>
      <c r="F20" s="157" t="s">
        <v>308</v>
      </c>
      <c r="G20" s="263"/>
      <c r="H20" s="263"/>
      <c r="I20" s="263"/>
    </row>
    <row r="21" spans="2:10" x14ac:dyDescent="0.25">
      <c r="D21" s="263"/>
      <c r="E21" s="263"/>
      <c r="F21" s="263"/>
      <c r="G21" s="263"/>
      <c r="H21" s="263"/>
      <c r="I21" s="263"/>
    </row>
    <row r="22" spans="2:10" x14ac:dyDescent="0.25">
      <c r="B22" s="185" t="s">
        <v>500</v>
      </c>
      <c r="D22" s="22" t="s">
        <v>499</v>
      </c>
      <c r="E22" s="374">
        <v>0.5</v>
      </c>
      <c r="F22" s="157" t="s">
        <v>502</v>
      </c>
      <c r="G22" s="263"/>
      <c r="H22" s="263"/>
      <c r="I22" s="263"/>
    </row>
    <row r="23" spans="2:10" s="262" customFormat="1" x14ac:dyDescent="0.25">
      <c r="D23" s="263"/>
      <c r="E23" s="263"/>
      <c r="F23" s="263"/>
      <c r="G23" s="263"/>
      <c r="H23" s="263"/>
      <c r="I23" s="263"/>
    </row>
    <row r="24" spans="2:10" ht="15.75" thickBot="1" x14ac:dyDescent="0.3">
      <c r="D24" s="263"/>
      <c r="E24" s="263"/>
      <c r="F24" s="263"/>
      <c r="G24" s="263"/>
      <c r="H24" s="263"/>
      <c r="I24" s="263"/>
    </row>
    <row r="25" spans="2:10" ht="39" x14ac:dyDescent="0.25">
      <c r="D25" s="377" t="s">
        <v>284</v>
      </c>
      <c r="E25" s="263"/>
      <c r="F25" s="263"/>
      <c r="G25" s="263"/>
      <c r="H25" s="263"/>
      <c r="I25" s="228" t="s">
        <v>291</v>
      </c>
    </row>
    <row r="26" spans="2:10" ht="15.75" thickBot="1" x14ac:dyDescent="0.3">
      <c r="D26" s="263"/>
      <c r="E26" s="263"/>
      <c r="F26" s="263"/>
      <c r="G26" s="263"/>
      <c r="H26" s="263"/>
      <c r="I26" s="263"/>
    </row>
    <row r="27" spans="2:10" ht="24" customHeight="1" thickBot="1" x14ac:dyDescent="0.3">
      <c r="D27" s="263"/>
      <c r="E27" s="378" t="s">
        <v>287</v>
      </c>
      <c r="F27" s="379" t="s">
        <v>286</v>
      </c>
      <c r="G27" s="263"/>
      <c r="H27" s="263"/>
      <c r="I27" s="379" t="s">
        <v>289</v>
      </c>
    </row>
    <row r="28" spans="2:10" ht="39" x14ac:dyDescent="0.25">
      <c r="D28" s="380" t="s">
        <v>326</v>
      </c>
      <c r="E28" s="381">
        <v>0.2</v>
      </c>
      <c r="F28" s="382">
        <v>0.2</v>
      </c>
      <c r="G28" s="263"/>
      <c r="H28" s="263"/>
      <c r="I28" s="383" t="s">
        <v>296</v>
      </c>
    </row>
    <row r="29" spans="2:10" ht="76.5" x14ac:dyDescent="0.25">
      <c r="D29" s="717" t="s">
        <v>327</v>
      </c>
      <c r="E29" s="719">
        <v>0.2</v>
      </c>
      <c r="F29" s="384">
        <v>0.7</v>
      </c>
      <c r="G29" s="263"/>
      <c r="H29" s="263"/>
      <c r="I29" s="385" t="s">
        <v>535</v>
      </c>
    </row>
    <row r="30" spans="2:10" ht="26.25" thickBot="1" x14ac:dyDescent="0.3">
      <c r="D30" s="718"/>
      <c r="E30" s="720"/>
      <c r="F30" s="386">
        <f>1-(1/3)</f>
        <v>0.66666666666666674</v>
      </c>
      <c r="G30" s="263"/>
      <c r="H30" s="263"/>
      <c r="I30" s="387" t="s">
        <v>536</v>
      </c>
    </row>
    <row r="31" spans="2:10" x14ac:dyDescent="0.25">
      <c r="D31" s="263"/>
      <c r="E31" s="263"/>
      <c r="F31" s="263"/>
      <c r="G31" s="263"/>
      <c r="H31" s="263"/>
      <c r="I31" s="263"/>
    </row>
    <row r="32" spans="2:10" x14ac:dyDescent="0.25">
      <c r="D32" s="263"/>
      <c r="E32" s="263"/>
      <c r="F32" s="263"/>
      <c r="G32" s="263"/>
      <c r="H32" s="263"/>
      <c r="I32" s="263"/>
    </row>
    <row r="33" spans="2:9" x14ac:dyDescent="0.25">
      <c r="B33" s="185" t="s">
        <v>455</v>
      </c>
      <c r="D33" s="263" t="s">
        <v>442</v>
      </c>
      <c r="E33" s="263" t="s">
        <v>49</v>
      </c>
      <c r="F33" s="374">
        <v>0.5</v>
      </c>
      <c r="G33" s="263"/>
      <c r="H33" s="263"/>
      <c r="I33" s="87" t="s">
        <v>445</v>
      </c>
    </row>
    <row r="34" spans="2:9" x14ac:dyDescent="0.25">
      <c r="B34" s="185" t="s">
        <v>453</v>
      </c>
      <c r="D34" s="263" t="s">
        <v>452</v>
      </c>
      <c r="E34" s="263" t="s">
        <v>30</v>
      </c>
      <c r="F34" s="388">
        <v>50000</v>
      </c>
      <c r="G34" s="263"/>
      <c r="H34" s="263"/>
      <c r="I34" s="87" t="s">
        <v>445</v>
      </c>
    </row>
    <row r="35" spans="2:9" x14ac:dyDescent="0.25">
      <c r="B35" s="185" t="s">
        <v>454</v>
      </c>
      <c r="D35" s="263" t="s">
        <v>456</v>
      </c>
      <c r="E35" s="263" t="s">
        <v>30</v>
      </c>
      <c r="F35" s="388">
        <v>40000</v>
      </c>
      <c r="G35" s="263"/>
      <c r="H35" s="263"/>
      <c r="I35" s="87" t="s">
        <v>445</v>
      </c>
    </row>
  </sheetData>
  <mergeCells count="7">
    <mergeCell ref="F8:F9"/>
    <mergeCell ref="F10:F12"/>
    <mergeCell ref="D29:D30"/>
    <mergeCell ref="E29:E30"/>
    <mergeCell ref="G14:G15"/>
    <mergeCell ref="F13:F14"/>
    <mergeCell ref="F16:F17"/>
  </mergeCells>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ceivedTime xmlns="341f3a21-500e-418d-b220-102a9842abf4" xsi:nil="true"/>
    <SentOn xmlns="341f3a21-500e-418d-b220-102a9842abf4" xsi:nil="true"/>
    <From xmlns="341f3a21-500e-418d-b220-102a9842abf4" xsi:nil="true"/>
    <To xmlns="341f3a21-500e-418d-b220-102a9842abf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Project document" ma:contentTypeID="0x010100688E7D229249384D83FD31465C7B48D500F9669E77B16EE0409FA4C02188F8E120" ma:contentTypeVersion="3" ma:contentTypeDescription="" ma:contentTypeScope="" ma:versionID="50d6759f7d38aac05438d5e3d1c4a837">
  <xsd:schema xmlns:xsd="http://www.w3.org/2001/XMLSchema" xmlns:xs="http://www.w3.org/2001/XMLSchema" xmlns:p="http://schemas.microsoft.com/office/2006/metadata/properties" xmlns:ns3="341f3a21-500e-418d-b220-102a9842abf4" targetNamespace="http://schemas.microsoft.com/office/2006/metadata/properties" ma:root="true" ma:fieldsID="a0df27395b8f9dd2ffdcf67078aaad18" ns3:_="">
    <xsd:import namespace="341f3a21-500e-418d-b220-102a9842abf4"/>
    <xsd:element name="properties">
      <xsd:complexType>
        <xsd:sequence>
          <xsd:element name="documentManagement">
            <xsd:complexType>
              <xsd:all>
                <xsd:element ref="ns3:From" minOccurs="0"/>
                <xsd:element ref="ns3:SentOn" minOccurs="0"/>
                <xsd:element ref="ns3:To" minOccurs="0"/>
                <xsd:element ref="ns3:Received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1f3a21-500e-418d-b220-102a9842abf4" elementFormDefault="qualified">
    <xsd:import namespace="http://schemas.microsoft.com/office/2006/documentManagement/types"/>
    <xsd:import namespace="http://schemas.microsoft.com/office/infopath/2007/PartnerControls"/>
    <xsd:element name="From" ma:index="9" nillable="true" ma:displayName="From" ma:description="Auto-populated by saved email" ma:internalName="From">
      <xsd:simpleType>
        <xsd:restriction base="dms:Text">
          <xsd:maxLength value="255"/>
        </xsd:restriction>
      </xsd:simpleType>
    </xsd:element>
    <xsd:element name="SentOn" ma:index="10" nillable="true" ma:displayName="SentOn" ma:description="Auto-populated by saved email" ma:format="DateTime" ma:internalName="SentOn">
      <xsd:simpleType>
        <xsd:restriction base="dms:DateTime"/>
      </xsd:simpleType>
    </xsd:element>
    <xsd:element name="To" ma:index="11" nillable="true" ma:displayName="To" ma:description="Auto-populated by saved email" ma:internalName="To">
      <xsd:simpleType>
        <xsd:restriction base="dms:Text">
          <xsd:maxLength value="255"/>
        </xsd:restriction>
      </xsd:simpleType>
    </xsd:element>
    <xsd:element name="ReceivedTime" ma:index="12" nillable="true" ma:displayName="ReceivedTime" ma:description="Auto-populated by saved email" ma:format="DateTime" ma:internalName="Received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AC781D-E244-400B-9578-CC21DF67785F}">
  <ds:schemaRefs>
    <ds:schemaRef ds:uri="http://schemas.microsoft.com/sharepoint/v3/contenttype/forms"/>
  </ds:schemaRefs>
</ds:datastoreItem>
</file>

<file path=customXml/itemProps2.xml><?xml version="1.0" encoding="utf-8"?>
<ds:datastoreItem xmlns:ds="http://schemas.openxmlformats.org/officeDocument/2006/customXml" ds:itemID="{4BAD11E8-2F14-4500-8746-B17E73307B83}">
  <ds:schemaRefs>
    <ds:schemaRef ds:uri="http://schemas.microsoft.com/office/infopath/2007/PartnerControls"/>
    <ds:schemaRef ds:uri="http://schemas.microsoft.com/office/2006/documentManagement/types"/>
    <ds:schemaRef ds:uri="http://www.w3.org/XML/1998/namespace"/>
    <ds:schemaRef ds:uri="http://purl.org/dc/dcmitype/"/>
    <ds:schemaRef ds:uri="http://purl.org/dc/terms/"/>
    <ds:schemaRef ds:uri="http://purl.org/dc/elements/1.1/"/>
    <ds:schemaRef ds:uri="http://schemas.openxmlformats.org/package/2006/metadata/core-properties"/>
    <ds:schemaRef ds:uri="341f3a21-500e-418d-b220-102a9842abf4"/>
    <ds:schemaRef ds:uri="http://schemas.microsoft.com/office/2006/metadata/properties"/>
  </ds:schemaRefs>
</ds:datastoreItem>
</file>

<file path=customXml/itemProps3.xml><?xml version="1.0" encoding="utf-8"?>
<ds:datastoreItem xmlns:ds="http://schemas.openxmlformats.org/officeDocument/2006/customXml" ds:itemID="{66E3FECC-D975-449E-AEAA-2A51953497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1f3a21-500e-418d-b220-102a9842ab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59</vt:i4>
      </vt:variant>
    </vt:vector>
  </HeadingPairs>
  <TitlesOfParts>
    <vt:vector size="87" baseType="lpstr">
      <vt:lpstr>Admin</vt:lpstr>
      <vt:lpstr>Model_Overview</vt:lpstr>
      <vt:lpstr>Model_Config</vt:lpstr>
      <vt:lpstr>NPC Summary</vt:lpstr>
      <vt:lpstr>Inputs---&gt;</vt:lpstr>
      <vt:lpstr>Inputs_General</vt:lpstr>
      <vt:lpstr>Inputs_Switching</vt:lpstr>
      <vt:lpstr>Inputs_CPs</vt:lpstr>
      <vt:lpstr>Inputs_Estimates</vt:lpstr>
      <vt:lpstr>Inputs_Delivery_Effort</vt:lpstr>
      <vt:lpstr>Inputs_Switchers</vt:lpstr>
      <vt:lpstr>GPL-EMP Calc---&gt;</vt:lpstr>
      <vt:lpstr>GPL-EMP Process Workings</vt:lpstr>
      <vt:lpstr>GPL-EMP System Workings</vt:lpstr>
      <vt:lpstr>GPL-DCC Calc---&gt;</vt:lpstr>
      <vt:lpstr>GPL-DCC Process Workings</vt:lpstr>
      <vt:lpstr>GPL-DCC System Workings</vt:lpstr>
      <vt:lpstr>eC&amp;R-EMP Calc---&gt;</vt:lpstr>
      <vt:lpstr>eC&amp;R-EMP Process Workings</vt:lpstr>
      <vt:lpstr>eC&amp;R-EMP System Workings</vt:lpstr>
      <vt:lpstr>eC&amp;R-DCC Calc---&gt;</vt:lpstr>
      <vt:lpstr>eC&amp;R-DCC Process Workings</vt:lpstr>
      <vt:lpstr>eC&amp;R-DCC System Workings</vt:lpstr>
      <vt:lpstr>General Solution Calc---&gt;</vt:lpstr>
      <vt:lpstr>General_Solutions</vt:lpstr>
      <vt:lpstr>Output---&gt;</vt:lpstr>
      <vt:lpstr>NPC_Results</vt:lpstr>
      <vt:lpstr>NPC_TierA</vt:lpstr>
      <vt:lpstr>active_live_chats</vt:lpstr>
      <vt:lpstr>additional_time_asset_val</vt:lpstr>
      <vt:lpstr>additional_time_complete_switch</vt:lpstr>
      <vt:lpstr>Additional_VM_Effort</vt:lpstr>
      <vt:lpstr>agent_time_cancel_blended</vt:lpstr>
      <vt:lpstr>agent_time_cancel_phone</vt:lpstr>
      <vt:lpstr>agent_time_cancel_webchat</vt:lpstr>
      <vt:lpstr>agent_time_postcontact</vt:lpstr>
      <vt:lpstr>agent_wage</vt:lpstr>
      <vt:lpstr>Annuity_Factor</vt:lpstr>
      <vt:lpstr>avg_time_savings_termination_chs</vt:lpstr>
      <vt:lpstr>CAPEX_Factor</vt:lpstr>
      <vt:lpstr>Complex_Process_Effort</vt:lpstr>
      <vt:lpstr>DCC_Complex_Sys_Effort</vt:lpstr>
      <vt:lpstr>DCC_Standard_Sys_Effort</vt:lpstr>
      <vt:lpstr>delta_cancel_using_phone</vt:lpstr>
      <vt:lpstr>delta_cancel_using_webchat</vt:lpstr>
      <vt:lpstr>Disc_Rate</vt:lpstr>
      <vt:lpstr>eCR_DCC_SwitchCost</vt:lpstr>
      <vt:lpstr>eCR_EMP_SwitchCost</vt:lpstr>
      <vt:lpstr>EMP_Complex_Sys_Effort</vt:lpstr>
      <vt:lpstr>EMP_Complex_Sys_Effort_OR</vt:lpstr>
      <vt:lpstr>EMP_Standard_Sys_Effort</vt:lpstr>
      <vt:lpstr>FE_Complex_Sys_Effort</vt:lpstr>
      <vt:lpstr>FE_Standard_Sys_Effort</vt:lpstr>
      <vt:lpstr>FE_vComplex_Sys_Effort</vt:lpstr>
      <vt:lpstr>GPL_DCC_SwitchCost</vt:lpstr>
      <vt:lpstr>GPL_EMP_SwitchCost</vt:lpstr>
      <vt:lpstr>hrs_day_shift</vt:lpstr>
      <vt:lpstr>hw_interface_costs</vt:lpstr>
      <vt:lpstr>hw_record_consent_costs</vt:lpstr>
      <vt:lpstr>IT_Consultant_Daily_Rate</vt:lpstr>
      <vt:lpstr>mins_hr</vt:lpstr>
      <vt:lpstr>num_switchers</vt:lpstr>
      <vt:lpstr>Online_ETC_Variable</vt:lpstr>
      <vt:lpstr>perc_cancel_phone_DD</vt:lpstr>
      <vt:lpstr>perc_cancel_using_IVR_online</vt:lpstr>
      <vt:lpstr>perc_cancel_webchat</vt:lpstr>
      <vt:lpstr>perc_switchers_not_contacting_LP</vt:lpstr>
      <vt:lpstr>perc_using_eCR_process</vt:lpstr>
      <vt:lpstr>perc_using_GPL_process</vt:lpstr>
      <vt:lpstr>PM_Overhead</vt:lpstr>
      <vt:lpstr>Sensitivity_Asset_Val</vt:lpstr>
      <vt:lpstr>Sensitivity_BE_Order</vt:lpstr>
      <vt:lpstr>Sensitivity_FE_Order</vt:lpstr>
      <vt:lpstr>Sensitivity_GP_BE_Comms</vt:lpstr>
      <vt:lpstr>Sensitivity_GP_FE_Comms</vt:lpstr>
      <vt:lpstr>Sensitivity_IS_Bill</vt:lpstr>
      <vt:lpstr>Sensitivity_Rec_Consent</vt:lpstr>
      <vt:lpstr>Sensitivity_Term_channels</vt:lpstr>
      <vt:lpstr>Standard_Process_Effort</vt:lpstr>
      <vt:lpstr>technical_FTE_salary</vt:lpstr>
      <vt:lpstr>TierA_TPI_BEefforts</vt:lpstr>
      <vt:lpstr>TierC_TierB_ratio</vt:lpstr>
      <vt:lpstr>Time_Period</vt:lpstr>
      <vt:lpstr>Trainees_per_session</vt:lpstr>
      <vt:lpstr>Training_Duration</vt:lpstr>
      <vt:lpstr>WACC</vt:lpstr>
      <vt:lpstr>work_days_year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Katerina Vlachavas</dc:creator>
  <cp:lastModifiedBy>Katerina Vlachavas</cp:lastModifiedBy>
  <dcterms:created xsi:type="dcterms:W3CDTF">2016-07-28T20:39:32Z</dcterms:created>
  <dcterms:modified xsi:type="dcterms:W3CDTF">2016-07-28T20:40:06Z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0x010100688E7D229249384D83FD31465C7B48D500F9669E77B16EE0409FA4C02188F8E120</vt:lpwstr>
  </property>
</Properties>
</file>